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2.xml" ContentType="application/vnd.openxmlformats-officedocument.drawing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0" windowWidth="20115" windowHeight="8010" activeTab="4"/>
  </bookViews>
  <sheets>
    <sheet name="Enero" sheetId="14" r:id="rId1"/>
    <sheet name="Febrero" sheetId="4" r:id="rId2"/>
    <sheet name="Marzo" sheetId="1" r:id="rId3"/>
    <sheet name="Abril" sheetId="5" r:id="rId4"/>
    <sheet name="Mayo" sheetId="6" r:id="rId5"/>
    <sheet name="Junio" sheetId="7" r:id="rId6"/>
    <sheet name="Julio" sheetId="8" r:id="rId7"/>
    <sheet name="Agosto" sheetId="9" r:id="rId8"/>
    <sheet name="Septiembre" sheetId="10" r:id="rId9"/>
    <sheet name="Octubre" sheetId="11" r:id="rId10"/>
    <sheet name="Noviembre" sheetId="12" r:id="rId11"/>
    <sheet name="Diciembre" sheetId="13" r:id="rId12"/>
    <sheet name="Resumen" sheetId="3" r:id="rId13"/>
    <sheet name="Acumulado" sheetId="15" r:id="rId14"/>
  </sheets>
  <calcPr calcId="145621"/>
</workbook>
</file>

<file path=xl/calcChain.xml><?xml version="1.0" encoding="utf-8"?>
<calcChain xmlns="http://schemas.openxmlformats.org/spreadsheetml/2006/main">
  <c r="C11" i="3" l="1"/>
  <c r="C10" i="3"/>
  <c r="C7" i="3"/>
  <c r="C6" i="3"/>
  <c r="F18" i="3"/>
  <c r="F17" i="3"/>
  <c r="F16" i="3"/>
  <c r="F15" i="3"/>
  <c r="F14" i="3"/>
  <c r="F13" i="3"/>
  <c r="F12" i="3"/>
  <c r="F11" i="3"/>
  <c r="F10" i="3"/>
  <c r="F9" i="3"/>
  <c r="F8" i="3"/>
  <c r="F7" i="3"/>
  <c r="G18" i="3"/>
  <c r="G17" i="3"/>
  <c r="G16" i="3"/>
  <c r="G15" i="3"/>
  <c r="G14" i="3"/>
  <c r="G13" i="3"/>
  <c r="G12" i="3"/>
  <c r="G11" i="3"/>
  <c r="G10" i="3"/>
  <c r="G9" i="3"/>
  <c r="G8" i="3"/>
  <c r="G7" i="3"/>
  <c r="E12" i="3"/>
  <c r="E18" i="3"/>
  <c r="E17" i="3"/>
  <c r="E16" i="3"/>
  <c r="E13" i="3"/>
  <c r="E15" i="3"/>
  <c r="E14" i="3"/>
  <c r="E11" i="3"/>
  <c r="E10" i="3"/>
  <c r="E9" i="3"/>
  <c r="E8" i="3"/>
  <c r="E7" i="3"/>
  <c r="B11" i="3"/>
  <c r="B10" i="3"/>
  <c r="B7" i="3"/>
  <c r="B6" i="3"/>
  <c r="H11" i="15"/>
  <c r="H12" i="15"/>
  <c r="H10" i="15"/>
  <c r="H5" i="15"/>
  <c r="H6" i="15"/>
  <c r="H4" i="15"/>
  <c r="H31" i="15"/>
  <c r="H34" i="15" s="1"/>
  <c r="H32" i="15"/>
  <c r="H33" i="15"/>
  <c r="I22" i="15"/>
  <c r="I23" i="15"/>
  <c r="I24" i="15"/>
  <c r="I25" i="15"/>
  <c r="I26" i="15"/>
  <c r="I27" i="15"/>
  <c r="I21" i="15"/>
  <c r="I28" i="15" s="1"/>
  <c r="H22" i="15"/>
  <c r="H23" i="15"/>
  <c r="J23" i="15" s="1"/>
  <c r="H24" i="15"/>
  <c r="H25" i="15"/>
  <c r="H26" i="15"/>
  <c r="H27" i="15"/>
  <c r="H21" i="15"/>
  <c r="I64" i="15"/>
  <c r="I66" i="15" s="1"/>
  <c r="I65" i="15"/>
  <c r="H64" i="15"/>
  <c r="H66" i="15" s="1"/>
  <c r="H65" i="15"/>
  <c r="I63" i="15"/>
  <c r="H63" i="15"/>
  <c r="I55" i="15"/>
  <c r="I60" i="15" s="1"/>
  <c r="I56" i="15"/>
  <c r="J56" i="15" s="1"/>
  <c r="I57" i="15"/>
  <c r="I58" i="15"/>
  <c r="I59" i="15"/>
  <c r="I54" i="15"/>
  <c r="H55" i="15"/>
  <c r="J55" i="15" s="1"/>
  <c r="H56" i="15"/>
  <c r="H57" i="15"/>
  <c r="H58" i="15"/>
  <c r="H59" i="15"/>
  <c r="H54" i="15"/>
  <c r="D52" i="15"/>
  <c r="D53" i="15"/>
  <c r="E53" i="15" s="1"/>
  <c r="D54" i="15"/>
  <c r="D55" i="15"/>
  <c r="D56" i="15"/>
  <c r="D57" i="15"/>
  <c r="E57" i="15" s="1"/>
  <c r="D58" i="15"/>
  <c r="D59" i="15"/>
  <c r="C52" i="15"/>
  <c r="C53" i="15"/>
  <c r="C54" i="15"/>
  <c r="C55" i="15"/>
  <c r="C56" i="15"/>
  <c r="C57" i="15"/>
  <c r="C58" i="15"/>
  <c r="C59" i="15"/>
  <c r="D51" i="15"/>
  <c r="C51" i="15"/>
  <c r="C60" i="15" s="1"/>
  <c r="I46" i="15"/>
  <c r="I51" i="15" s="1"/>
  <c r="I47" i="15"/>
  <c r="I48" i="15"/>
  <c r="J48" i="15" s="1"/>
  <c r="I49" i="15"/>
  <c r="I50" i="15"/>
  <c r="H46" i="15"/>
  <c r="H47" i="15"/>
  <c r="H48" i="15"/>
  <c r="H49" i="15"/>
  <c r="H50" i="15"/>
  <c r="I45" i="15"/>
  <c r="J45" i="15" s="1"/>
  <c r="H45" i="15"/>
  <c r="H51" i="15" s="1"/>
  <c r="D46" i="15"/>
  <c r="E46" i="15" s="1"/>
  <c r="D47" i="15"/>
  <c r="D45" i="15"/>
  <c r="D48" i="15" s="1"/>
  <c r="C46" i="15"/>
  <c r="C47" i="15"/>
  <c r="C45" i="15"/>
  <c r="I38" i="15"/>
  <c r="I39" i="15"/>
  <c r="J39" i="15" s="1"/>
  <c r="I40" i="15"/>
  <c r="I41" i="15"/>
  <c r="I37" i="15"/>
  <c r="J37" i="15" s="1"/>
  <c r="H38" i="15"/>
  <c r="H39" i="15"/>
  <c r="H40" i="15"/>
  <c r="H41" i="15"/>
  <c r="H37" i="15"/>
  <c r="J41" i="15"/>
  <c r="D39" i="15"/>
  <c r="D40" i="15"/>
  <c r="D41" i="15"/>
  <c r="E41" i="15" s="1"/>
  <c r="D38" i="15"/>
  <c r="E38" i="15" s="1"/>
  <c r="C39" i="15"/>
  <c r="C42" i="15" s="1"/>
  <c r="C40" i="15"/>
  <c r="C41" i="15"/>
  <c r="C38" i="15"/>
  <c r="D29" i="15"/>
  <c r="D30" i="15"/>
  <c r="D31" i="15"/>
  <c r="D32" i="15"/>
  <c r="D33" i="15"/>
  <c r="D34" i="15"/>
  <c r="C29" i="15"/>
  <c r="E29" i="15" s="1"/>
  <c r="C30" i="15"/>
  <c r="C31" i="15"/>
  <c r="E31" i="15" s="1"/>
  <c r="C32" i="15"/>
  <c r="C33" i="15"/>
  <c r="E33" i="15" s="1"/>
  <c r="C34" i="15"/>
  <c r="D28" i="15"/>
  <c r="E28" i="15" s="1"/>
  <c r="C28" i="15"/>
  <c r="D16" i="15"/>
  <c r="D17" i="15"/>
  <c r="D18" i="15"/>
  <c r="D19" i="15"/>
  <c r="D20" i="15"/>
  <c r="E20" i="15" s="1"/>
  <c r="D21" i="15"/>
  <c r="D22" i="15"/>
  <c r="D23" i="15"/>
  <c r="D24" i="15"/>
  <c r="D25" i="15" s="1"/>
  <c r="D15" i="15"/>
  <c r="C16" i="15"/>
  <c r="C17" i="15"/>
  <c r="C18" i="15"/>
  <c r="E18" i="15" s="1"/>
  <c r="C19" i="15"/>
  <c r="C20" i="15"/>
  <c r="C21" i="15"/>
  <c r="C22" i="15"/>
  <c r="E22" i="15" s="1"/>
  <c r="C23" i="15"/>
  <c r="C24" i="15"/>
  <c r="C15" i="15"/>
  <c r="E15" i="15" s="1"/>
  <c r="D8" i="15"/>
  <c r="D9" i="15"/>
  <c r="D10" i="15"/>
  <c r="E10" i="15" s="1"/>
  <c r="D11" i="15"/>
  <c r="D7" i="15"/>
  <c r="C8" i="15"/>
  <c r="C12" i="15" s="1"/>
  <c r="C9" i="15"/>
  <c r="C10" i="15"/>
  <c r="C11" i="15"/>
  <c r="C7" i="15"/>
  <c r="E4" i="15"/>
  <c r="D4" i="15"/>
  <c r="C4" i="15"/>
  <c r="J64" i="15"/>
  <c r="J63" i="15"/>
  <c r="H60" i="15"/>
  <c r="D60" i="15"/>
  <c r="J59" i="15"/>
  <c r="E59" i="15"/>
  <c r="J58" i="15"/>
  <c r="E58" i="15"/>
  <c r="J57" i="15"/>
  <c r="E56" i="15"/>
  <c r="E55" i="15"/>
  <c r="J54" i="15"/>
  <c r="E54" i="15"/>
  <c r="E52" i="15"/>
  <c r="J50" i="15"/>
  <c r="J49" i="15"/>
  <c r="J46" i="15"/>
  <c r="E39" i="15"/>
  <c r="J38" i="15"/>
  <c r="D35" i="15"/>
  <c r="C35" i="15"/>
  <c r="I34" i="15"/>
  <c r="J33" i="15"/>
  <c r="J32" i="15"/>
  <c r="E32" i="15"/>
  <c r="E30" i="15"/>
  <c r="J26" i="15"/>
  <c r="J25" i="15"/>
  <c r="J24" i="15"/>
  <c r="E23" i="15"/>
  <c r="J22" i="15"/>
  <c r="E21" i="15"/>
  <c r="E19" i="15"/>
  <c r="E17" i="15"/>
  <c r="E16" i="15"/>
  <c r="H13" i="15"/>
  <c r="E11" i="15"/>
  <c r="E9" i="15"/>
  <c r="H7" i="15"/>
  <c r="I66" i="14"/>
  <c r="H66" i="14"/>
  <c r="J65" i="14"/>
  <c r="J64" i="14"/>
  <c r="J63" i="14"/>
  <c r="J66" i="14" s="1"/>
  <c r="I60" i="14"/>
  <c r="H60" i="14"/>
  <c r="D60" i="14"/>
  <c r="C60" i="14"/>
  <c r="J59" i="14"/>
  <c r="E59" i="14"/>
  <c r="J58" i="14"/>
  <c r="E58" i="14"/>
  <c r="J57" i="14"/>
  <c r="E57" i="14"/>
  <c r="J56" i="14"/>
  <c r="E56" i="14"/>
  <c r="J55" i="14"/>
  <c r="E55" i="14"/>
  <c r="J54" i="14"/>
  <c r="J60" i="14" s="1"/>
  <c r="E54" i="14"/>
  <c r="E53" i="14"/>
  <c r="E52" i="14"/>
  <c r="I51" i="14"/>
  <c r="H51" i="14"/>
  <c r="E51" i="14"/>
  <c r="E60" i="14" s="1"/>
  <c r="J50" i="14"/>
  <c r="J49" i="14"/>
  <c r="J48" i="14"/>
  <c r="D48" i="14"/>
  <c r="C48" i="14"/>
  <c r="J47" i="14"/>
  <c r="E47" i="14"/>
  <c r="J46" i="14"/>
  <c r="J51" i="14" s="1"/>
  <c r="E46" i="14"/>
  <c r="J45" i="14"/>
  <c r="E45" i="14"/>
  <c r="E48" i="14" s="1"/>
  <c r="I42" i="14"/>
  <c r="H42" i="14"/>
  <c r="D42" i="14"/>
  <c r="C42" i="14"/>
  <c r="J41" i="14"/>
  <c r="E41" i="14"/>
  <c r="J40" i="14"/>
  <c r="E40" i="14"/>
  <c r="J39" i="14"/>
  <c r="E39" i="14"/>
  <c r="E42" i="14" s="1"/>
  <c r="J38" i="14"/>
  <c r="J42" i="14" s="1"/>
  <c r="E38" i="14"/>
  <c r="J37" i="14"/>
  <c r="D35" i="14"/>
  <c r="C35" i="14"/>
  <c r="I34" i="14"/>
  <c r="H34" i="14"/>
  <c r="E34" i="14"/>
  <c r="J33" i="14"/>
  <c r="E33" i="14"/>
  <c r="J32" i="14"/>
  <c r="E32" i="14"/>
  <c r="J31" i="14"/>
  <c r="J34" i="14" s="1"/>
  <c r="E31" i="14"/>
  <c r="E30" i="14"/>
  <c r="E35" i="14" s="1"/>
  <c r="E29" i="14"/>
  <c r="I28" i="14"/>
  <c r="H28" i="14"/>
  <c r="E28" i="14"/>
  <c r="J27" i="14"/>
  <c r="J26" i="14"/>
  <c r="J25" i="14"/>
  <c r="D25" i="14"/>
  <c r="C25" i="14"/>
  <c r="C4" i="14" s="1"/>
  <c r="H15" i="14" s="1"/>
  <c r="J24" i="14"/>
  <c r="E24" i="14"/>
  <c r="J23" i="14"/>
  <c r="E23" i="14"/>
  <c r="J22" i="14"/>
  <c r="E22" i="14"/>
  <c r="J21" i="14"/>
  <c r="J28" i="14" s="1"/>
  <c r="E21" i="14"/>
  <c r="E20" i="14"/>
  <c r="E19" i="14"/>
  <c r="E18" i="14"/>
  <c r="E17" i="14"/>
  <c r="E16" i="14"/>
  <c r="E15" i="14"/>
  <c r="E25" i="14" s="1"/>
  <c r="H13" i="14"/>
  <c r="H16" i="14" s="1"/>
  <c r="H17" i="14" s="1"/>
  <c r="D12" i="14"/>
  <c r="C12" i="14"/>
  <c r="E11" i="14"/>
  <c r="E10" i="14"/>
  <c r="E9" i="14"/>
  <c r="E8" i="14"/>
  <c r="H7" i="14"/>
  <c r="E7" i="14"/>
  <c r="E12" i="14" s="1"/>
  <c r="D4" i="14"/>
  <c r="I66" i="13"/>
  <c r="H66" i="13"/>
  <c r="J65" i="13"/>
  <c r="J64" i="13"/>
  <c r="J63" i="13"/>
  <c r="J66" i="13" s="1"/>
  <c r="I60" i="13"/>
  <c r="H60" i="13"/>
  <c r="D60" i="13"/>
  <c r="C60" i="13"/>
  <c r="J59" i="13"/>
  <c r="E59" i="13"/>
  <c r="J58" i="13"/>
  <c r="E58" i="13"/>
  <c r="J57" i="13"/>
  <c r="E57" i="13"/>
  <c r="J56" i="13"/>
  <c r="E56" i="13"/>
  <c r="J55" i="13"/>
  <c r="E55" i="13"/>
  <c r="J54" i="13"/>
  <c r="J60" i="13" s="1"/>
  <c r="E54" i="13"/>
  <c r="E53" i="13"/>
  <c r="E52" i="13"/>
  <c r="I51" i="13"/>
  <c r="H51" i="13"/>
  <c r="E51" i="13"/>
  <c r="E60" i="13" s="1"/>
  <c r="J50" i="13"/>
  <c r="J49" i="13"/>
  <c r="J48" i="13"/>
  <c r="D48" i="13"/>
  <c r="C48" i="13"/>
  <c r="J47" i="13"/>
  <c r="E47" i="13"/>
  <c r="J46" i="13"/>
  <c r="J51" i="13" s="1"/>
  <c r="E46" i="13"/>
  <c r="J45" i="13"/>
  <c r="E45" i="13"/>
  <c r="E48" i="13" s="1"/>
  <c r="I42" i="13"/>
  <c r="H42" i="13"/>
  <c r="D42" i="13"/>
  <c r="C42" i="13"/>
  <c r="J41" i="13"/>
  <c r="E41" i="13"/>
  <c r="J40" i="13"/>
  <c r="E40" i="13"/>
  <c r="J39" i="13"/>
  <c r="E39" i="13"/>
  <c r="E42" i="13" s="1"/>
  <c r="J38" i="13"/>
  <c r="J42" i="13" s="1"/>
  <c r="E38" i="13"/>
  <c r="J37" i="13"/>
  <c r="D35" i="13"/>
  <c r="C35" i="13"/>
  <c r="I34" i="13"/>
  <c r="H34" i="13"/>
  <c r="E34" i="13"/>
  <c r="J33" i="13"/>
  <c r="E33" i="13"/>
  <c r="J32" i="13"/>
  <c r="E32" i="13"/>
  <c r="J31" i="13"/>
  <c r="J34" i="13" s="1"/>
  <c r="E31" i="13"/>
  <c r="E30" i="13"/>
  <c r="E35" i="13" s="1"/>
  <c r="E29" i="13"/>
  <c r="I28" i="13"/>
  <c r="H28" i="13"/>
  <c r="E28" i="13"/>
  <c r="J27" i="13"/>
  <c r="J26" i="13"/>
  <c r="J25" i="13"/>
  <c r="D25" i="13"/>
  <c r="C25" i="13"/>
  <c r="C4" i="13" s="1"/>
  <c r="H15" i="13" s="1"/>
  <c r="J24" i="13"/>
  <c r="E24" i="13"/>
  <c r="J23" i="13"/>
  <c r="E23" i="13"/>
  <c r="J22" i="13"/>
  <c r="E22" i="13"/>
  <c r="J21" i="13"/>
  <c r="J28" i="13" s="1"/>
  <c r="E21" i="13"/>
  <c r="E20" i="13"/>
  <c r="E19" i="13"/>
  <c r="E18" i="13"/>
  <c r="E17" i="13"/>
  <c r="E16" i="13"/>
  <c r="E15" i="13"/>
  <c r="E25" i="13" s="1"/>
  <c r="H13" i="13"/>
  <c r="H16" i="13" s="1"/>
  <c r="H17" i="13" s="1"/>
  <c r="D12" i="13"/>
  <c r="C12" i="13"/>
  <c r="E11" i="13"/>
  <c r="E10" i="13"/>
  <c r="E9" i="13"/>
  <c r="E8" i="13"/>
  <c r="H7" i="13"/>
  <c r="E7" i="13"/>
  <c r="E12" i="13" s="1"/>
  <c r="D4" i="13"/>
  <c r="I66" i="12"/>
  <c r="H66" i="12"/>
  <c r="J65" i="12"/>
  <c r="J64" i="12"/>
  <c r="J63" i="12"/>
  <c r="J66" i="12" s="1"/>
  <c r="I60" i="12"/>
  <c r="H60" i="12"/>
  <c r="D60" i="12"/>
  <c r="C60" i="12"/>
  <c r="J59" i="12"/>
  <c r="E59" i="12"/>
  <c r="J58" i="12"/>
  <c r="E58" i="12"/>
  <c r="J57" i="12"/>
  <c r="E57" i="12"/>
  <c r="J56" i="12"/>
  <c r="E56" i="12"/>
  <c r="J55" i="12"/>
  <c r="E55" i="12"/>
  <c r="J54" i="12"/>
  <c r="J60" i="12" s="1"/>
  <c r="E54" i="12"/>
  <c r="E53" i="12"/>
  <c r="E52" i="12"/>
  <c r="I51" i="12"/>
  <c r="H51" i="12"/>
  <c r="E51" i="12"/>
  <c r="E60" i="12" s="1"/>
  <c r="J50" i="12"/>
  <c r="J49" i="12"/>
  <c r="J48" i="12"/>
  <c r="D48" i="12"/>
  <c r="C48" i="12"/>
  <c r="J47" i="12"/>
  <c r="E47" i="12"/>
  <c r="J46" i="12"/>
  <c r="J51" i="12" s="1"/>
  <c r="E46" i="12"/>
  <c r="J45" i="12"/>
  <c r="E45" i="12"/>
  <c r="E48" i="12" s="1"/>
  <c r="I42" i="12"/>
  <c r="H42" i="12"/>
  <c r="D42" i="12"/>
  <c r="C42" i="12"/>
  <c r="J41" i="12"/>
  <c r="E41" i="12"/>
  <c r="J40" i="12"/>
  <c r="E40" i="12"/>
  <c r="J39" i="12"/>
  <c r="E39" i="12"/>
  <c r="E42" i="12" s="1"/>
  <c r="J38" i="12"/>
  <c r="J42" i="12" s="1"/>
  <c r="E38" i="12"/>
  <c r="J37" i="12"/>
  <c r="D35" i="12"/>
  <c r="C35" i="12"/>
  <c r="I34" i="12"/>
  <c r="H34" i="12"/>
  <c r="E34" i="12"/>
  <c r="J33" i="12"/>
  <c r="E33" i="12"/>
  <c r="J32" i="12"/>
  <c r="E32" i="12"/>
  <c r="J31" i="12"/>
  <c r="J34" i="12" s="1"/>
  <c r="E31" i="12"/>
  <c r="E30" i="12"/>
  <c r="E35" i="12" s="1"/>
  <c r="E29" i="12"/>
  <c r="I28" i="12"/>
  <c r="H28" i="12"/>
  <c r="E28" i="12"/>
  <c r="J27" i="12"/>
  <c r="J26" i="12"/>
  <c r="J25" i="12"/>
  <c r="D25" i="12"/>
  <c r="C25" i="12"/>
  <c r="C4" i="12" s="1"/>
  <c r="H15" i="12" s="1"/>
  <c r="J24" i="12"/>
  <c r="E24" i="12"/>
  <c r="J23" i="12"/>
  <c r="E23" i="12"/>
  <c r="J22" i="12"/>
  <c r="E22" i="12"/>
  <c r="J21" i="12"/>
  <c r="J28" i="12" s="1"/>
  <c r="E21" i="12"/>
  <c r="E20" i="12"/>
  <c r="E19" i="12"/>
  <c r="E18" i="12"/>
  <c r="E17" i="12"/>
  <c r="E16" i="12"/>
  <c r="E15" i="12"/>
  <c r="E25" i="12" s="1"/>
  <c r="H13" i="12"/>
  <c r="H16" i="12" s="1"/>
  <c r="H17" i="12" s="1"/>
  <c r="D12" i="12"/>
  <c r="C12" i="12"/>
  <c r="E11" i="12"/>
  <c r="E10" i="12"/>
  <c r="E9" i="12"/>
  <c r="E8" i="12"/>
  <c r="H7" i="12"/>
  <c r="E7" i="12"/>
  <c r="E12" i="12" s="1"/>
  <c r="D4" i="12"/>
  <c r="I66" i="11"/>
  <c r="H66" i="11"/>
  <c r="J65" i="11"/>
  <c r="J64" i="11"/>
  <c r="J63" i="11"/>
  <c r="J66" i="11" s="1"/>
  <c r="I60" i="11"/>
  <c r="H60" i="11"/>
  <c r="D60" i="11"/>
  <c r="C60" i="11"/>
  <c r="J59" i="11"/>
  <c r="E59" i="11"/>
  <c r="J58" i="11"/>
  <c r="E58" i="11"/>
  <c r="J57" i="11"/>
  <c r="E57" i="11"/>
  <c r="J56" i="11"/>
  <c r="E56" i="11"/>
  <c r="J55" i="11"/>
  <c r="E55" i="11"/>
  <c r="J54" i="11"/>
  <c r="J60" i="11" s="1"/>
  <c r="E54" i="11"/>
  <c r="E53" i="11"/>
  <c r="E52" i="11"/>
  <c r="I51" i="11"/>
  <c r="H51" i="11"/>
  <c r="E51" i="11"/>
  <c r="E60" i="11" s="1"/>
  <c r="J50" i="11"/>
  <c r="J49" i="11"/>
  <c r="J48" i="11"/>
  <c r="D48" i="11"/>
  <c r="C48" i="11"/>
  <c r="J47" i="11"/>
  <c r="E47" i="11"/>
  <c r="J46" i="11"/>
  <c r="J51" i="11" s="1"/>
  <c r="E46" i="11"/>
  <c r="J45" i="11"/>
  <c r="E45" i="11"/>
  <c r="E48" i="11" s="1"/>
  <c r="I42" i="11"/>
  <c r="H42" i="11"/>
  <c r="D42" i="11"/>
  <c r="C42" i="11"/>
  <c r="J41" i="11"/>
  <c r="E41" i="11"/>
  <c r="J40" i="11"/>
  <c r="E40" i="11"/>
  <c r="J39" i="11"/>
  <c r="E39" i="11"/>
  <c r="E42" i="11" s="1"/>
  <c r="J38" i="11"/>
  <c r="J42" i="11" s="1"/>
  <c r="E38" i="11"/>
  <c r="J37" i="11"/>
  <c r="D35" i="11"/>
  <c r="C35" i="11"/>
  <c r="I34" i="11"/>
  <c r="H34" i="11"/>
  <c r="E34" i="11"/>
  <c r="J33" i="11"/>
  <c r="E33" i="11"/>
  <c r="J32" i="11"/>
  <c r="E32" i="11"/>
  <c r="J31" i="11"/>
  <c r="J34" i="11" s="1"/>
  <c r="E31" i="11"/>
  <c r="E30" i="11"/>
  <c r="E35" i="11" s="1"/>
  <c r="E29" i="11"/>
  <c r="I28" i="11"/>
  <c r="H28" i="11"/>
  <c r="E28" i="11"/>
  <c r="J27" i="11"/>
  <c r="J26" i="11"/>
  <c r="J25" i="11"/>
  <c r="D25" i="11"/>
  <c r="C25" i="11"/>
  <c r="C4" i="11" s="1"/>
  <c r="H15" i="11" s="1"/>
  <c r="J24" i="11"/>
  <c r="E24" i="11"/>
  <c r="J23" i="11"/>
  <c r="E23" i="11"/>
  <c r="J22" i="11"/>
  <c r="E22" i="11"/>
  <c r="J21" i="11"/>
  <c r="J28" i="11" s="1"/>
  <c r="E21" i="11"/>
  <c r="E20" i="11"/>
  <c r="E19" i="11"/>
  <c r="E18" i="11"/>
  <c r="E17" i="11"/>
  <c r="E16" i="11"/>
  <c r="E15" i="11"/>
  <c r="E25" i="11" s="1"/>
  <c r="H13" i="11"/>
  <c r="H16" i="11" s="1"/>
  <c r="H17" i="11" s="1"/>
  <c r="D12" i="11"/>
  <c r="C12" i="11"/>
  <c r="E11" i="11"/>
  <c r="E10" i="11"/>
  <c r="E9" i="11"/>
  <c r="E8" i="11"/>
  <c r="H7" i="11"/>
  <c r="E7" i="11"/>
  <c r="E12" i="11" s="1"/>
  <c r="D4" i="11"/>
  <c r="I66" i="10"/>
  <c r="H66" i="10"/>
  <c r="J65" i="10"/>
  <c r="J64" i="10"/>
  <c r="J63" i="10"/>
  <c r="J66" i="10" s="1"/>
  <c r="I60" i="10"/>
  <c r="H60" i="10"/>
  <c r="D60" i="10"/>
  <c r="C60" i="10"/>
  <c r="J59" i="10"/>
  <c r="E59" i="10"/>
  <c r="J58" i="10"/>
  <c r="E58" i="10"/>
  <c r="J57" i="10"/>
  <c r="E57" i="10"/>
  <c r="J56" i="10"/>
  <c r="E56" i="10"/>
  <c r="J55" i="10"/>
  <c r="E55" i="10"/>
  <c r="J54" i="10"/>
  <c r="J60" i="10" s="1"/>
  <c r="E54" i="10"/>
  <c r="E53" i="10"/>
  <c r="E52" i="10"/>
  <c r="I51" i="10"/>
  <c r="H51" i="10"/>
  <c r="E51" i="10"/>
  <c r="E60" i="10" s="1"/>
  <c r="J50" i="10"/>
  <c r="J49" i="10"/>
  <c r="J48" i="10"/>
  <c r="D48" i="10"/>
  <c r="C48" i="10"/>
  <c r="J47" i="10"/>
  <c r="E47" i="10"/>
  <c r="J46" i="10"/>
  <c r="J51" i="10" s="1"/>
  <c r="E46" i="10"/>
  <c r="J45" i="10"/>
  <c r="E45" i="10"/>
  <c r="E48" i="10" s="1"/>
  <c r="I42" i="10"/>
  <c r="H42" i="10"/>
  <c r="D42" i="10"/>
  <c r="C42" i="10"/>
  <c r="J41" i="10"/>
  <c r="E41" i="10"/>
  <c r="J40" i="10"/>
  <c r="E40" i="10"/>
  <c r="J39" i="10"/>
  <c r="E39" i="10"/>
  <c r="E42" i="10" s="1"/>
  <c r="J38" i="10"/>
  <c r="J42" i="10" s="1"/>
  <c r="E38" i="10"/>
  <c r="J37" i="10"/>
  <c r="D35" i="10"/>
  <c r="C35" i="10"/>
  <c r="I34" i="10"/>
  <c r="H34" i="10"/>
  <c r="E34" i="10"/>
  <c r="J33" i="10"/>
  <c r="E33" i="10"/>
  <c r="J32" i="10"/>
  <c r="E32" i="10"/>
  <c r="J31" i="10"/>
  <c r="J34" i="10" s="1"/>
  <c r="E31" i="10"/>
  <c r="E30" i="10"/>
  <c r="E35" i="10" s="1"/>
  <c r="E29" i="10"/>
  <c r="I28" i="10"/>
  <c r="H28" i="10"/>
  <c r="E28" i="10"/>
  <c r="J27" i="10"/>
  <c r="J26" i="10"/>
  <c r="J25" i="10"/>
  <c r="D25" i="10"/>
  <c r="C25" i="10"/>
  <c r="C4" i="10" s="1"/>
  <c r="H15" i="10" s="1"/>
  <c r="J24" i="10"/>
  <c r="E24" i="10"/>
  <c r="J23" i="10"/>
  <c r="E23" i="10"/>
  <c r="J22" i="10"/>
  <c r="E22" i="10"/>
  <c r="J21" i="10"/>
  <c r="J28" i="10" s="1"/>
  <c r="E21" i="10"/>
  <c r="E20" i="10"/>
  <c r="E19" i="10"/>
  <c r="E18" i="10"/>
  <c r="E17" i="10"/>
  <c r="E16" i="10"/>
  <c r="E15" i="10"/>
  <c r="E25" i="10" s="1"/>
  <c r="H13" i="10"/>
  <c r="H16" i="10" s="1"/>
  <c r="H17" i="10" s="1"/>
  <c r="D12" i="10"/>
  <c r="C12" i="10"/>
  <c r="E11" i="10"/>
  <c r="E10" i="10"/>
  <c r="E9" i="10"/>
  <c r="E8" i="10"/>
  <c r="H7" i="10"/>
  <c r="E7" i="10"/>
  <c r="E12" i="10" s="1"/>
  <c r="D4" i="10"/>
  <c r="I66" i="9"/>
  <c r="H66" i="9"/>
  <c r="J65" i="9"/>
  <c r="J64" i="9"/>
  <c r="J63" i="9"/>
  <c r="J66" i="9" s="1"/>
  <c r="I60" i="9"/>
  <c r="H60" i="9"/>
  <c r="D60" i="9"/>
  <c r="C60" i="9"/>
  <c r="J59" i="9"/>
  <c r="E59" i="9"/>
  <c r="J58" i="9"/>
  <c r="E58" i="9"/>
  <c r="J57" i="9"/>
  <c r="E57" i="9"/>
  <c r="J56" i="9"/>
  <c r="E56" i="9"/>
  <c r="J55" i="9"/>
  <c r="E55" i="9"/>
  <c r="J54" i="9"/>
  <c r="J60" i="9" s="1"/>
  <c r="E54" i="9"/>
  <c r="E53" i="9"/>
  <c r="E52" i="9"/>
  <c r="I51" i="9"/>
  <c r="H51" i="9"/>
  <c r="E51" i="9"/>
  <c r="E60" i="9" s="1"/>
  <c r="J50" i="9"/>
  <c r="J49" i="9"/>
  <c r="J48" i="9"/>
  <c r="D48" i="9"/>
  <c r="C48" i="9"/>
  <c r="J47" i="9"/>
  <c r="E47" i="9"/>
  <c r="J46" i="9"/>
  <c r="J51" i="9" s="1"/>
  <c r="E46" i="9"/>
  <c r="J45" i="9"/>
  <c r="E45" i="9"/>
  <c r="E48" i="9" s="1"/>
  <c r="I42" i="9"/>
  <c r="H42" i="9"/>
  <c r="D42" i="9"/>
  <c r="C42" i="9"/>
  <c r="J41" i="9"/>
  <c r="E41" i="9"/>
  <c r="J40" i="9"/>
  <c r="E40" i="9"/>
  <c r="J39" i="9"/>
  <c r="E39" i="9"/>
  <c r="E42" i="9" s="1"/>
  <c r="J38" i="9"/>
  <c r="J42" i="9" s="1"/>
  <c r="E38" i="9"/>
  <c r="J37" i="9"/>
  <c r="D35" i="9"/>
  <c r="C35" i="9"/>
  <c r="I34" i="9"/>
  <c r="H34" i="9"/>
  <c r="E34" i="9"/>
  <c r="J33" i="9"/>
  <c r="E33" i="9"/>
  <c r="J32" i="9"/>
  <c r="E32" i="9"/>
  <c r="J31" i="9"/>
  <c r="J34" i="9" s="1"/>
  <c r="E31" i="9"/>
  <c r="E30" i="9"/>
  <c r="E35" i="9" s="1"/>
  <c r="E29" i="9"/>
  <c r="I28" i="9"/>
  <c r="H28" i="9"/>
  <c r="E28" i="9"/>
  <c r="J27" i="9"/>
  <c r="J26" i="9"/>
  <c r="J25" i="9"/>
  <c r="D25" i="9"/>
  <c r="C25" i="9"/>
  <c r="C4" i="9" s="1"/>
  <c r="H15" i="9" s="1"/>
  <c r="J24" i="9"/>
  <c r="E24" i="9"/>
  <c r="J23" i="9"/>
  <c r="E23" i="9"/>
  <c r="J22" i="9"/>
  <c r="E22" i="9"/>
  <c r="J21" i="9"/>
  <c r="J28" i="9" s="1"/>
  <c r="E21" i="9"/>
  <c r="E20" i="9"/>
  <c r="E19" i="9"/>
  <c r="E18" i="9"/>
  <c r="E17" i="9"/>
  <c r="E16" i="9"/>
  <c r="E15" i="9"/>
  <c r="E25" i="9" s="1"/>
  <c r="H13" i="9"/>
  <c r="H16" i="9" s="1"/>
  <c r="D12" i="9"/>
  <c r="C12" i="9"/>
  <c r="E11" i="9"/>
  <c r="E10" i="9"/>
  <c r="E9" i="9"/>
  <c r="E8" i="9"/>
  <c r="H7" i="9"/>
  <c r="E7" i="9"/>
  <c r="E12" i="9" s="1"/>
  <c r="D4" i="9"/>
  <c r="I66" i="8"/>
  <c r="H66" i="8"/>
  <c r="J65" i="8"/>
  <c r="J64" i="8"/>
  <c r="J63" i="8"/>
  <c r="J66" i="8" s="1"/>
  <c r="I60" i="8"/>
  <c r="H60" i="8"/>
  <c r="D60" i="8"/>
  <c r="C60" i="8"/>
  <c r="J59" i="8"/>
  <c r="E59" i="8"/>
  <c r="J58" i="8"/>
  <c r="E58" i="8"/>
  <c r="J57" i="8"/>
  <c r="E57" i="8"/>
  <c r="J56" i="8"/>
  <c r="E56" i="8"/>
  <c r="J55" i="8"/>
  <c r="E55" i="8"/>
  <c r="J54" i="8"/>
  <c r="J60" i="8" s="1"/>
  <c r="E54" i="8"/>
  <c r="E53" i="8"/>
  <c r="E52" i="8"/>
  <c r="I51" i="8"/>
  <c r="H51" i="8"/>
  <c r="E51" i="8"/>
  <c r="E60" i="8" s="1"/>
  <c r="J50" i="8"/>
  <c r="J49" i="8"/>
  <c r="J48" i="8"/>
  <c r="D48" i="8"/>
  <c r="C48" i="8"/>
  <c r="J47" i="8"/>
  <c r="E47" i="8"/>
  <c r="J46" i="8"/>
  <c r="J51" i="8" s="1"/>
  <c r="E46" i="8"/>
  <c r="J45" i="8"/>
  <c r="E45" i="8"/>
  <c r="E48" i="8" s="1"/>
  <c r="I42" i="8"/>
  <c r="H42" i="8"/>
  <c r="D42" i="8"/>
  <c r="C42" i="8"/>
  <c r="J41" i="8"/>
  <c r="E41" i="8"/>
  <c r="J40" i="8"/>
  <c r="E40" i="8"/>
  <c r="J39" i="8"/>
  <c r="E39" i="8"/>
  <c r="E42" i="8" s="1"/>
  <c r="J38" i="8"/>
  <c r="J42" i="8" s="1"/>
  <c r="E38" i="8"/>
  <c r="J37" i="8"/>
  <c r="D35" i="8"/>
  <c r="C35" i="8"/>
  <c r="I34" i="8"/>
  <c r="H34" i="8"/>
  <c r="E34" i="8"/>
  <c r="J33" i="8"/>
  <c r="E33" i="8"/>
  <c r="J32" i="8"/>
  <c r="E32" i="8"/>
  <c r="J31" i="8"/>
  <c r="J34" i="8" s="1"/>
  <c r="E31" i="8"/>
  <c r="E30" i="8"/>
  <c r="E35" i="8" s="1"/>
  <c r="E29" i="8"/>
  <c r="I28" i="8"/>
  <c r="H28" i="8"/>
  <c r="E28" i="8"/>
  <c r="J27" i="8"/>
  <c r="J26" i="8"/>
  <c r="J25" i="8"/>
  <c r="D25" i="8"/>
  <c r="C25" i="8"/>
  <c r="C4" i="8" s="1"/>
  <c r="H15" i="8" s="1"/>
  <c r="J24" i="8"/>
  <c r="E24" i="8"/>
  <c r="J23" i="8"/>
  <c r="E23" i="8"/>
  <c r="J22" i="8"/>
  <c r="E22" i="8"/>
  <c r="J21" i="8"/>
  <c r="J28" i="8" s="1"/>
  <c r="E21" i="8"/>
  <c r="E20" i="8"/>
  <c r="E19" i="8"/>
  <c r="E18" i="8"/>
  <c r="E17" i="8"/>
  <c r="E16" i="8"/>
  <c r="E15" i="8"/>
  <c r="E25" i="8" s="1"/>
  <c r="H13" i="8"/>
  <c r="H16" i="8" s="1"/>
  <c r="D12" i="8"/>
  <c r="C12" i="8"/>
  <c r="E11" i="8"/>
  <c r="E10" i="8"/>
  <c r="E9" i="8"/>
  <c r="E8" i="8"/>
  <c r="H7" i="8"/>
  <c r="E7" i="8"/>
  <c r="E12" i="8" s="1"/>
  <c r="D4" i="8"/>
  <c r="I66" i="7"/>
  <c r="H66" i="7"/>
  <c r="J65" i="7"/>
  <c r="J64" i="7"/>
  <c r="J63" i="7"/>
  <c r="J66" i="7" s="1"/>
  <c r="I60" i="7"/>
  <c r="H60" i="7"/>
  <c r="D60" i="7"/>
  <c r="C60" i="7"/>
  <c r="J59" i="7"/>
  <c r="E59" i="7"/>
  <c r="J58" i="7"/>
  <c r="E58" i="7"/>
  <c r="J57" i="7"/>
  <c r="E57" i="7"/>
  <c r="J56" i="7"/>
  <c r="E56" i="7"/>
  <c r="J55" i="7"/>
  <c r="E55" i="7"/>
  <c r="J54" i="7"/>
  <c r="J60" i="7" s="1"/>
  <c r="E54" i="7"/>
  <c r="E53" i="7"/>
  <c r="E52" i="7"/>
  <c r="I51" i="7"/>
  <c r="H51" i="7"/>
  <c r="E51" i="7"/>
  <c r="E60" i="7" s="1"/>
  <c r="J50" i="7"/>
  <c r="J49" i="7"/>
  <c r="J48" i="7"/>
  <c r="D48" i="7"/>
  <c r="C48" i="7"/>
  <c r="J47" i="7"/>
  <c r="E47" i="7"/>
  <c r="J46" i="7"/>
  <c r="J51" i="7" s="1"/>
  <c r="E46" i="7"/>
  <c r="J45" i="7"/>
  <c r="E45" i="7"/>
  <c r="E48" i="7" s="1"/>
  <c r="I42" i="7"/>
  <c r="H42" i="7"/>
  <c r="D42" i="7"/>
  <c r="C42" i="7"/>
  <c r="J41" i="7"/>
  <c r="E41" i="7"/>
  <c r="J40" i="7"/>
  <c r="E40" i="7"/>
  <c r="J39" i="7"/>
  <c r="E39" i="7"/>
  <c r="E42" i="7" s="1"/>
  <c r="J38" i="7"/>
  <c r="J42" i="7" s="1"/>
  <c r="E38" i="7"/>
  <c r="J37" i="7"/>
  <c r="D35" i="7"/>
  <c r="C35" i="7"/>
  <c r="I34" i="7"/>
  <c r="H34" i="7"/>
  <c r="E34" i="7"/>
  <c r="J33" i="7"/>
  <c r="E33" i="7"/>
  <c r="J32" i="7"/>
  <c r="E32" i="7"/>
  <c r="J31" i="7"/>
  <c r="J34" i="7" s="1"/>
  <c r="E31" i="7"/>
  <c r="E30" i="7"/>
  <c r="E35" i="7" s="1"/>
  <c r="E29" i="7"/>
  <c r="I28" i="7"/>
  <c r="H28" i="7"/>
  <c r="E28" i="7"/>
  <c r="J27" i="7"/>
  <c r="J26" i="7"/>
  <c r="J25" i="7"/>
  <c r="D25" i="7"/>
  <c r="C25" i="7"/>
  <c r="C4" i="7" s="1"/>
  <c r="H15" i="7" s="1"/>
  <c r="J24" i="7"/>
  <c r="E24" i="7"/>
  <c r="J23" i="7"/>
  <c r="E23" i="7"/>
  <c r="J22" i="7"/>
  <c r="E22" i="7"/>
  <c r="J21" i="7"/>
  <c r="J28" i="7" s="1"/>
  <c r="E21" i="7"/>
  <c r="E20" i="7"/>
  <c r="E19" i="7"/>
  <c r="E18" i="7"/>
  <c r="E17" i="7"/>
  <c r="E16" i="7"/>
  <c r="E15" i="7"/>
  <c r="E25" i="7" s="1"/>
  <c r="H13" i="7"/>
  <c r="H16" i="7" s="1"/>
  <c r="D12" i="7"/>
  <c r="C12" i="7"/>
  <c r="E11" i="7"/>
  <c r="E10" i="7"/>
  <c r="E9" i="7"/>
  <c r="E8" i="7"/>
  <c r="H7" i="7"/>
  <c r="E7" i="7"/>
  <c r="E12" i="7" s="1"/>
  <c r="D4" i="7"/>
  <c r="I66" i="6"/>
  <c r="H66" i="6"/>
  <c r="J65" i="6"/>
  <c r="J64" i="6"/>
  <c r="J63" i="6"/>
  <c r="J66" i="6" s="1"/>
  <c r="I60" i="6"/>
  <c r="H60" i="6"/>
  <c r="D60" i="6"/>
  <c r="C60" i="6"/>
  <c r="J59" i="6"/>
  <c r="E59" i="6"/>
  <c r="J58" i="6"/>
  <c r="E58" i="6"/>
  <c r="J57" i="6"/>
  <c r="E57" i="6"/>
  <c r="J56" i="6"/>
  <c r="E56" i="6"/>
  <c r="J55" i="6"/>
  <c r="E55" i="6"/>
  <c r="J54" i="6"/>
  <c r="J60" i="6" s="1"/>
  <c r="E54" i="6"/>
  <c r="E53" i="6"/>
  <c r="E52" i="6"/>
  <c r="I51" i="6"/>
  <c r="H51" i="6"/>
  <c r="E51" i="6"/>
  <c r="E60" i="6" s="1"/>
  <c r="J50" i="6"/>
  <c r="J49" i="6"/>
  <c r="J48" i="6"/>
  <c r="D48" i="6"/>
  <c r="C48" i="6"/>
  <c r="J47" i="6"/>
  <c r="E47" i="6"/>
  <c r="J46" i="6"/>
  <c r="J51" i="6" s="1"/>
  <c r="E46" i="6"/>
  <c r="J45" i="6"/>
  <c r="E45" i="6"/>
  <c r="E48" i="6" s="1"/>
  <c r="I42" i="6"/>
  <c r="H42" i="6"/>
  <c r="D42" i="6"/>
  <c r="C42" i="6"/>
  <c r="J41" i="6"/>
  <c r="E41" i="6"/>
  <c r="J40" i="6"/>
  <c r="E40" i="6"/>
  <c r="J39" i="6"/>
  <c r="E39" i="6"/>
  <c r="E42" i="6" s="1"/>
  <c r="J38" i="6"/>
  <c r="J42" i="6" s="1"/>
  <c r="E38" i="6"/>
  <c r="J37" i="6"/>
  <c r="D35" i="6"/>
  <c r="C35" i="6"/>
  <c r="I34" i="6"/>
  <c r="H34" i="6"/>
  <c r="E34" i="6"/>
  <c r="J33" i="6"/>
  <c r="E33" i="6"/>
  <c r="J32" i="6"/>
  <c r="E32" i="6"/>
  <c r="J31" i="6"/>
  <c r="J34" i="6" s="1"/>
  <c r="E31" i="6"/>
  <c r="E30" i="6"/>
  <c r="E35" i="6" s="1"/>
  <c r="E29" i="6"/>
  <c r="I28" i="6"/>
  <c r="H28" i="6"/>
  <c r="E28" i="6"/>
  <c r="J27" i="6"/>
  <c r="J26" i="6"/>
  <c r="J25" i="6"/>
  <c r="D25" i="6"/>
  <c r="C25" i="6"/>
  <c r="C4" i="6" s="1"/>
  <c r="H15" i="6" s="1"/>
  <c r="J24" i="6"/>
  <c r="E24" i="6"/>
  <c r="J23" i="6"/>
  <c r="E23" i="6"/>
  <c r="J22" i="6"/>
  <c r="E22" i="6"/>
  <c r="J21" i="6"/>
  <c r="J28" i="6" s="1"/>
  <c r="E21" i="6"/>
  <c r="E20" i="6"/>
  <c r="E19" i="6"/>
  <c r="E18" i="6"/>
  <c r="E17" i="6"/>
  <c r="E16" i="6"/>
  <c r="E15" i="6"/>
  <c r="E25" i="6" s="1"/>
  <c r="H13" i="6"/>
  <c r="H16" i="6" s="1"/>
  <c r="H17" i="6" s="1"/>
  <c r="D12" i="6"/>
  <c r="C12" i="6"/>
  <c r="E11" i="6"/>
  <c r="E10" i="6"/>
  <c r="E9" i="6"/>
  <c r="E8" i="6"/>
  <c r="H7" i="6"/>
  <c r="E7" i="6"/>
  <c r="E12" i="6" s="1"/>
  <c r="D4" i="6"/>
  <c r="I66" i="5"/>
  <c r="H66" i="5"/>
  <c r="J65" i="5"/>
  <c r="J64" i="5"/>
  <c r="J63" i="5"/>
  <c r="J66" i="5" s="1"/>
  <c r="I60" i="5"/>
  <c r="H60" i="5"/>
  <c r="D60" i="5"/>
  <c r="C60" i="5"/>
  <c r="J59" i="5"/>
  <c r="E59" i="5"/>
  <c r="J58" i="5"/>
  <c r="E58" i="5"/>
  <c r="J57" i="5"/>
  <c r="E57" i="5"/>
  <c r="J56" i="5"/>
  <c r="E56" i="5"/>
  <c r="J55" i="5"/>
  <c r="E55" i="5"/>
  <c r="J54" i="5"/>
  <c r="J60" i="5" s="1"/>
  <c r="E54" i="5"/>
  <c r="E53" i="5"/>
  <c r="E52" i="5"/>
  <c r="I51" i="5"/>
  <c r="H51" i="5"/>
  <c r="E51" i="5"/>
  <c r="E60" i="5" s="1"/>
  <c r="J50" i="5"/>
  <c r="J49" i="5"/>
  <c r="J48" i="5"/>
  <c r="D48" i="5"/>
  <c r="C48" i="5"/>
  <c r="J47" i="5"/>
  <c r="E47" i="5"/>
  <c r="J46" i="5"/>
  <c r="E46" i="5"/>
  <c r="J45" i="5"/>
  <c r="J51" i="5" s="1"/>
  <c r="E45" i="5"/>
  <c r="E48" i="5" s="1"/>
  <c r="I42" i="5"/>
  <c r="H42" i="5"/>
  <c r="D42" i="5"/>
  <c r="C42" i="5"/>
  <c r="J41" i="5"/>
  <c r="E41" i="5"/>
  <c r="J40" i="5"/>
  <c r="E40" i="5"/>
  <c r="J39" i="5"/>
  <c r="E39" i="5"/>
  <c r="E42" i="5" s="1"/>
  <c r="J38" i="5"/>
  <c r="E38" i="5"/>
  <c r="J37" i="5"/>
  <c r="J42" i="5" s="1"/>
  <c r="D35" i="5"/>
  <c r="C35" i="5"/>
  <c r="I34" i="5"/>
  <c r="H34" i="5"/>
  <c r="E34" i="5"/>
  <c r="J33" i="5"/>
  <c r="E33" i="5"/>
  <c r="J32" i="5"/>
  <c r="E32" i="5"/>
  <c r="J31" i="5"/>
  <c r="J34" i="5" s="1"/>
  <c r="E31" i="5"/>
  <c r="E35" i="5" s="1"/>
  <c r="E30" i="5"/>
  <c r="E29" i="5"/>
  <c r="I28" i="5"/>
  <c r="H28" i="5"/>
  <c r="E28" i="5"/>
  <c r="J27" i="5"/>
  <c r="J26" i="5"/>
  <c r="J25" i="5"/>
  <c r="D25" i="5"/>
  <c r="D4" i="5" s="1"/>
  <c r="C25" i="5"/>
  <c r="C4" i="5" s="1"/>
  <c r="H15" i="5" s="1"/>
  <c r="J24" i="5"/>
  <c r="E24" i="5"/>
  <c r="J23" i="5"/>
  <c r="E23" i="5"/>
  <c r="J22" i="5"/>
  <c r="E22" i="5"/>
  <c r="J21" i="5"/>
  <c r="J28" i="5" s="1"/>
  <c r="E21" i="5"/>
  <c r="E20" i="5"/>
  <c r="E19" i="5"/>
  <c r="E18" i="5"/>
  <c r="E17" i="5"/>
  <c r="E16" i="5"/>
  <c r="E15" i="5"/>
  <c r="E25" i="5" s="1"/>
  <c r="H13" i="5"/>
  <c r="D12" i="5"/>
  <c r="C12" i="5"/>
  <c r="E11" i="5"/>
  <c r="E10" i="5"/>
  <c r="E9" i="5"/>
  <c r="E8" i="5"/>
  <c r="H7" i="5"/>
  <c r="E7" i="5"/>
  <c r="E12" i="5" s="1"/>
  <c r="I66" i="4"/>
  <c r="H66" i="4"/>
  <c r="J65" i="4"/>
  <c r="J64" i="4"/>
  <c r="J63" i="4"/>
  <c r="J66" i="4" s="1"/>
  <c r="I60" i="4"/>
  <c r="H60" i="4"/>
  <c r="D60" i="4"/>
  <c r="C60" i="4"/>
  <c r="J59" i="4"/>
  <c r="E59" i="4"/>
  <c r="J58" i="4"/>
  <c r="E58" i="4"/>
  <c r="J57" i="4"/>
  <c r="E57" i="4"/>
  <c r="J56" i="4"/>
  <c r="E56" i="4"/>
  <c r="J55" i="4"/>
  <c r="E55" i="4"/>
  <c r="J54" i="4"/>
  <c r="J60" i="4" s="1"/>
  <c r="E54" i="4"/>
  <c r="E53" i="4"/>
  <c r="E52" i="4"/>
  <c r="I51" i="4"/>
  <c r="H51" i="4"/>
  <c r="E51" i="4"/>
  <c r="E60" i="4" s="1"/>
  <c r="J50" i="4"/>
  <c r="J49" i="4"/>
  <c r="J48" i="4"/>
  <c r="D48" i="4"/>
  <c r="C48" i="4"/>
  <c r="J47" i="4"/>
  <c r="E47" i="4"/>
  <c r="J46" i="4"/>
  <c r="J51" i="4" s="1"/>
  <c r="E46" i="4"/>
  <c r="J45" i="4"/>
  <c r="E45" i="4"/>
  <c r="E48" i="4" s="1"/>
  <c r="I42" i="4"/>
  <c r="H42" i="4"/>
  <c r="D42" i="4"/>
  <c r="C42" i="4"/>
  <c r="J41" i="4"/>
  <c r="E41" i="4"/>
  <c r="J40" i="4"/>
  <c r="E40" i="4"/>
  <c r="J39" i="4"/>
  <c r="E39" i="4"/>
  <c r="E42" i="4" s="1"/>
  <c r="J38" i="4"/>
  <c r="J42" i="4" s="1"/>
  <c r="E38" i="4"/>
  <c r="J37" i="4"/>
  <c r="D35" i="4"/>
  <c r="C35" i="4"/>
  <c r="I34" i="4"/>
  <c r="H34" i="4"/>
  <c r="E34" i="4"/>
  <c r="J33" i="4"/>
  <c r="E33" i="4"/>
  <c r="J32" i="4"/>
  <c r="E32" i="4"/>
  <c r="J31" i="4"/>
  <c r="J34" i="4" s="1"/>
  <c r="E31" i="4"/>
  <c r="E30" i="4"/>
  <c r="E35" i="4" s="1"/>
  <c r="E29" i="4"/>
  <c r="I28" i="4"/>
  <c r="H28" i="4"/>
  <c r="E28" i="4"/>
  <c r="J27" i="4"/>
  <c r="J26" i="4"/>
  <c r="J25" i="4"/>
  <c r="D25" i="4"/>
  <c r="C25" i="4"/>
  <c r="J24" i="4"/>
  <c r="E24" i="4"/>
  <c r="J23" i="4"/>
  <c r="E23" i="4"/>
  <c r="J22" i="4"/>
  <c r="E22" i="4"/>
  <c r="J21" i="4"/>
  <c r="J28" i="4" s="1"/>
  <c r="E21" i="4"/>
  <c r="E20" i="4"/>
  <c r="E19" i="4"/>
  <c r="E18" i="4"/>
  <c r="E17" i="4"/>
  <c r="E16" i="4"/>
  <c r="E15" i="4"/>
  <c r="E25" i="4" s="1"/>
  <c r="E4" i="4" s="1"/>
  <c r="H13" i="4"/>
  <c r="H16" i="4" s="1"/>
  <c r="H17" i="4" s="1"/>
  <c r="D12" i="4"/>
  <c r="C12" i="4"/>
  <c r="C4" i="4" s="1"/>
  <c r="E11" i="4"/>
  <c r="E10" i="4"/>
  <c r="E9" i="4"/>
  <c r="E8" i="4"/>
  <c r="H7" i="4"/>
  <c r="H15" i="4" s="1"/>
  <c r="E7" i="4"/>
  <c r="E12" i="4" s="1"/>
  <c r="D4" i="4"/>
  <c r="G19" i="3" l="1"/>
  <c r="F19" i="3"/>
  <c r="J31" i="15"/>
  <c r="J34" i="15" s="1"/>
  <c r="J27" i="15"/>
  <c r="H28" i="15"/>
  <c r="J21" i="15"/>
  <c r="J28" i="15" s="1"/>
  <c r="J65" i="15"/>
  <c r="J66" i="15"/>
  <c r="J60" i="15"/>
  <c r="E51" i="15"/>
  <c r="E60" i="15" s="1"/>
  <c r="J47" i="15"/>
  <c r="J51" i="15"/>
  <c r="E47" i="15"/>
  <c r="C48" i="15"/>
  <c r="E45" i="15"/>
  <c r="E48" i="15" s="1"/>
  <c r="J40" i="15"/>
  <c r="I42" i="15"/>
  <c r="H42" i="15"/>
  <c r="J42" i="15"/>
  <c r="E40" i="15"/>
  <c r="D42" i="15"/>
  <c r="E42" i="15"/>
  <c r="E34" i="15"/>
  <c r="E35" i="15"/>
  <c r="E24" i="15"/>
  <c r="E25" i="15" s="1"/>
  <c r="C25" i="15"/>
  <c r="D12" i="15"/>
  <c r="E7" i="15"/>
  <c r="E8" i="15"/>
  <c r="E12" i="15" s="1"/>
  <c r="H16" i="15"/>
  <c r="H15" i="15"/>
  <c r="E4" i="14"/>
  <c r="E4" i="13"/>
  <c r="E4" i="12"/>
  <c r="E4" i="11"/>
  <c r="E4" i="10"/>
  <c r="H17" i="9"/>
  <c r="E4" i="9"/>
  <c r="H17" i="8"/>
  <c r="E4" i="8"/>
  <c r="E4" i="7"/>
  <c r="H17" i="7"/>
  <c r="E4" i="6"/>
  <c r="H16" i="5"/>
  <c r="H17" i="5" s="1"/>
  <c r="E4" i="5"/>
  <c r="E10" i="1"/>
  <c r="D12" i="1"/>
  <c r="C12" i="1"/>
  <c r="E11" i="1"/>
  <c r="E9" i="1"/>
  <c r="E8" i="1"/>
  <c r="E7" i="1"/>
  <c r="I60" i="1"/>
  <c r="H60" i="1"/>
  <c r="I66" i="1"/>
  <c r="H66" i="1"/>
  <c r="J59" i="1"/>
  <c r="J65" i="1"/>
  <c r="J58" i="1"/>
  <c r="J64" i="1"/>
  <c r="J57" i="1"/>
  <c r="J56" i="1"/>
  <c r="J63" i="1"/>
  <c r="J55" i="1"/>
  <c r="J54" i="1"/>
  <c r="D60" i="1"/>
  <c r="C60" i="1"/>
  <c r="E59" i="1"/>
  <c r="I51" i="1"/>
  <c r="H51" i="1"/>
  <c r="E58" i="1"/>
  <c r="J50" i="1"/>
  <c r="E57" i="1"/>
  <c r="E56" i="1"/>
  <c r="J49" i="1"/>
  <c r="E55" i="1"/>
  <c r="J48" i="1"/>
  <c r="E54" i="1"/>
  <c r="J47" i="1"/>
  <c r="E53" i="1"/>
  <c r="J46" i="1"/>
  <c r="E52" i="1"/>
  <c r="J45" i="1"/>
  <c r="E51" i="1"/>
  <c r="I42" i="1"/>
  <c r="H42" i="1"/>
  <c r="D48" i="1"/>
  <c r="C48" i="1"/>
  <c r="J41" i="1"/>
  <c r="E47" i="1"/>
  <c r="J40" i="1"/>
  <c r="E46" i="1"/>
  <c r="J39" i="1"/>
  <c r="E45" i="1"/>
  <c r="J38" i="1"/>
  <c r="J37" i="1"/>
  <c r="D42" i="1"/>
  <c r="C42" i="1"/>
  <c r="E41" i="1"/>
  <c r="I34" i="1"/>
  <c r="H34" i="1"/>
  <c r="E40" i="1"/>
  <c r="J33" i="1"/>
  <c r="E39" i="1"/>
  <c r="J32" i="1"/>
  <c r="E38" i="1"/>
  <c r="J31" i="1"/>
  <c r="D35" i="1"/>
  <c r="C35" i="1"/>
  <c r="I28" i="1"/>
  <c r="H28" i="1"/>
  <c r="E34" i="1"/>
  <c r="J27" i="1"/>
  <c r="J26" i="1"/>
  <c r="E33" i="1"/>
  <c r="J25" i="1"/>
  <c r="E32" i="1"/>
  <c r="J24" i="1"/>
  <c r="E31" i="1"/>
  <c r="J23" i="1"/>
  <c r="E30" i="1"/>
  <c r="J22" i="1"/>
  <c r="E29" i="1"/>
  <c r="J21" i="1"/>
  <c r="E28" i="1"/>
  <c r="D25" i="1"/>
  <c r="C25" i="1"/>
  <c r="E24" i="1"/>
  <c r="E23" i="1"/>
  <c r="E22" i="1"/>
  <c r="H13" i="1"/>
  <c r="E21" i="1"/>
  <c r="E20" i="1"/>
  <c r="E19" i="1"/>
  <c r="E18" i="1"/>
  <c r="E17" i="1"/>
  <c r="E16" i="1"/>
  <c r="H7" i="1"/>
  <c r="E15" i="1"/>
  <c r="H17" i="15" l="1"/>
  <c r="C4" i="1"/>
  <c r="H15" i="1" s="1"/>
  <c r="D4" i="1"/>
  <c r="H16" i="1" s="1"/>
  <c r="J66" i="1"/>
  <c r="E60" i="1"/>
  <c r="J42" i="1"/>
  <c r="J60" i="1"/>
  <c r="J34" i="1"/>
  <c r="J51" i="1"/>
  <c r="E25" i="1"/>
  <c r="E35" i="1"/>
  <c r="E42" i="1"/>
  <c r="E48" i="1"/>
  <c r="E12" i="1"/>
  <c r="J28" i="1"/>
  <c r="E4" i="1" l="1"/>
  <c r="H17" i="1"/>
</calcChain>
</file>

<file path=xl/sharedStrings.xml><?xml version="1.0" encoding="utf-8"?>
<sst xmlns="http://schemas.openxmlformats.org/spreadsheetml/2006/main" count="1889" uniqueCount="93">
  <si>
    <t xml:space="preserve">  </t>
  </si>
  <si>
    <t>Gas</t>
  </si>
  <si>
    <t>Cable</t>
  </si>
  <si>
    <t>Total</t>
  </si>
  <si>
    <t>Organization dues or fees</t>
  </si>
  <si>
    <t>Personal</t>
  </si>
  <si>
    <t>Costo Total Projectado</t>
  </si>
  <si>
    <t>Costo Total Real</t>
  </si>
  <si>
    <t>Diferencia</t>
  </si>
  <si>
    <t>Ingreso Mensual Proyectado</t>
  </si>
  <si>
    <t>Salario</t>
  </si>
  <si>
    <t>Ingreso Secundario</t>
  </si>
  <si>
    <t>Otros Ingresos</t>
  </si>
  <si>
    <t>Ingreso total Mensual</t>
  </si>
  <si>
    <t>Ingreso Mensual Real</t>
  </si>
  <si>
    <t>Balance Proyectado</t>
  </si>
  <si>
    <t>Balance Real</t>
  </si>
  <si>
    <t>Vivienda</t>
  </si>
  <si>
    <t>Costo Presupuestado</t>
  </si>
  <si>
    <t>Costo Real</t>
  </si>
  <si>
    <t>Ahorro/ Inversiones</t>
  </si>
  <si>
    <t>Gastos Legales</t>
  </si>
  <si>
    <t>Gastos Financieros/ Prestamos</t>
  </si>
  <si>
    <t>Niños</t>
  </si>
  <si>
    <t>Cuidado Personal</t>
  </si>
  <si>
    <t>Mascotas</t>
  </si>
  <si>
    <t>Comida</t>
  </si>
  <si>
    <t>Seguros</t>
  </si>
  <si>
    <t>Regalos y Donaciones</t>
  </si>
  <si>
    <t>Entretenimiento</t>
  </si>
  <si>
    <t>Transporte</t>
  </si>
  <si>
    <t>Agua</t>
  </si>
  <si>
    <t>Recogida de Basura</t>
  </si>
  <si>
    <t>Mantenimiento o reparaciones</t>
  </si>
  <si>
    <t>Telefono</t>
  </si>
  <si>
    <t>Electricidad</t>
  </si>
  <si>
    <t>Alquiler</t>
  </si>
  <si>
    <t>Suministros</t>
  </si>
  <si>
    <t>Otros gastos</t>
  </si>
  <si>
    <t>Bus/Taxi/ Metro</t>
  </si>
  <si>
    <t>Combustible</t>
  </si>
  <si>
    <t>Seguro</t>
  </si>
  <si>
    <t>Mantenimiento</t>
  </si>
  <si>
    <t>Prestamo vehicular 1</t>
  </si>
  <si>
    <t>Prestamo vehicular 2</t>
  </si>
  <si>
    <t>hogar</t>
  </si>
  <si>
    <t>salud</t>
  </si>
  <si>
    <t>vida</t>
  </si>
  <si>
    <t>otro</t>
  </si>
  <si>
    <t>fundacion 1</t>
  </si>
  <si>
    <t>fundacion 2</t>
  </si>
  <si>
    <t>fundacion 3</t>
  </si>
  <si>
    <t>alimento</t>
  </si>
  <si>
    <t>gastos medicos</t>
  </si>
  <si>
    <t>peluqueria</t>
  </si>
  <si>
    <t>juguetes</t>
  </si>
  <si>
    <t>otros gastos</t>
  </si>
  <si>
    <t>supermercado</t>
  </si>
  <si>
    <t>restaurantes</t>
  </si>
  <si>
    <t>Pago Escolar</t>
  </si>
  <si>
    <t>Materiales Escolares</t>
  </si>
  <si>
    <t>Merienda o almuerzo</t>
  </si>
  <si>
    <t>Cuidado de niño</t>
  </si>
  <si>
    <t>Juegos/ Juguetes</t>
  </si>
  <si>
    <t>Otros</t>
  </si>
  <si>
    <t>Gastos medicos</t>
  </si>
  <si>
    <t>Abogado</t>
  </si>
  <si>
    <t>Pagos</t>
  </si>
  <si>
    <t>Estudiantil</t>
  </si>
  <si>
    <t>Tarjeta Credito 1</t>
  </si>
  <si>
    <t>Tarjeta Credito 2</t>
  </si>
  <si>
    <t>Tarjeta Credito 3</t>
  </si>
  <si>
    <t>Medicos</t>
  </si>
  <si>
    <t>Peluqueria/Salon</t>
  </si>
  <si>
    <t>Vestimenta</t>
  </si>
  <si>
    <t>Lavanderia</t>
  </si>
  <si>
    <t>Gimnasio</t>
  </si>
  <si>
    <t>Plan de Retiro</t>
  </si>
  <si>
    <t>Cuenta de Inversion</t>
  </si>
  <si>
    <t>Otros ahorros</t>
  </si>
  <si>
    <t>Fondo de Emergencia</t>
  </si>
  <si>
    <t>Universidad de los hijos</t>
  </si>
  <si>
    <t>Cine</t>
  </si>
  <si>
    <t>Conciertos</t>
  </si>
  <si>
    <t>Eventos deportivos</t>
  </si>
  <si>
    <t>Teatro</t>
  </si>
  <si>
    <t>Eventos sociales</t>
  </si>
  <si>
    <t xml:space="preserve"> Alquiler Video/DVD</t>
  </si>
  <si>
    <t>Ingreso Anual Proyectado</t>
  </si>
  <si>
    <t>Ingreso Anual Real</t>
  </si>
  <si>
    <t>Total Gastos por Categoria</t>
  </si>
  <si>
    <t>Presupuestado</t>
  </si>
  <si>
    <t>Real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</si>
</sst>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RD$&quot;* #,##0.00_-;\-&quot;RD$&quot;* #,##0.00_-;_-&quot;RD$&quot;* &quot;-&quot;??_-;_-@_-"/>
    <numFmt numFmtId="164" formatCode="&quot;$&quot;#,##0_);[Red]\(&quot;$&quot;#,##0\)"/>
    <numFmt numFmtId="165" formatCode="&quot;$&quot;#,##0"/>
    <numFmt numFmtId="166" formatCode="_-[$RD$-1C0A]* #,##0.00_-;\-[$RD$-1C0A]* #,##0.00_-;_-[$RD$-1C0A]* &quot;-&quot;??_-;_-@_-"/>
  </numFmts>
  <fonts count="20" x14ac:knownFonts="1"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6"/>
      <name val="Cambria"/>
      <family val="2"/>
      <scheme val="major"/>
    </font>
    <font>
      <b/>
      <sz val="12"/>
      <name val="Cambria"/>
      <family val="2"/>
      <scheme val="major"/>
    </font>
    <font>
      <b/>
      <sz val="10"/>
      <color theme="0"/>
      <name val="Cambria"/>
      <family val="2"/>
      <scheme val="major"/>
    </font>
    <font>
      <sz val="8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1"/>
      <scheme val="minor"/>
    </font>
    <font>
      <b/>
      <sz val="10"/>
      <color theme="0"/>
      <name val="Calibri"/>
      <family val="1"/>
      <scheme val="minor"/>
    </font>
    <font>
      <b/>
      <sz val="8"/>
      <name val="Calibri"/>
      <family val="2"/>
      <scheme val="minor"/>
    </font>
    <font>
      <sz val="8"/>
      <name val="Calibri"/>
      <family val="1"/>
      <scheme val="minor"/>
    </font>
    <font>
      <b/>
      <i/>
      <sz val="10"/>
      <name val="Calibri"/>
      <family val="1"/>
      <scheme val="minor"/>
    </font>
    <font>
      <sz val="10"/>
      <color theme="0"/>
      <name val="Cambria"/>
      <family val="2"/>
      <scheme val="major"/>
    </font>
    <font>
      <sz val="10"/>
      <color theme="0"/>
      <name val="Cambria"/>
      <family val="1"/>
      <scheme val="major"/>
    </font>
    <font>
      <b/>
      <sz val="10"/>
      <color theme="0"/>
      <name val="Cambria"/>
      <family val="1"/>
      <scheme val="maj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5"/>
      </patternFill>
    </fill>
    <fill>
      <patternFill patternType="solid">
        <fgColor theme="5"/>
        <bgColor theme="5"/>
      </patternFill>
    </fill>
    <fill>
      <patternFill patternType="solid">
        <fgColor theme="5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theme="0"/>
      </bottom>
      <diagonal/>
    </border>
    <border>
      <left/>
      <right/>
      <top style="medium">
        <color indexed="64"/>
      </top>
      <bottom style="thin">
        <color theme="0"/>
      </bottom>
      <diagonal/>
    </border>
    <border>
      <left/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/>
      <top style="thin">
        <color theme="0"/>
      </top>
      <bottom style="medium">
        <color indexed="64"/>
      </bottom>
      <diagonal/>
    </border>
    <border>
      <left/>
      <right/>
      <top style="thin">
        <color theme="0"/>
      </top>
      <bottom style="medium">
        <color indexed="64"/>
      </bottom>
      <diagonal/>
    </border>
    <border>
      <left/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/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/>
      <bottom style="thin">
        <color theme="0"/>
      </bottom>
      <diagonal/>
    </border>
    <border>
      <left/>
      <right style="medium">
        <color indexed="64"/>
      </right>
      <top/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44" fontId="19" fillId="0" borderId="0" applyFont="0" applyFill="0" applyBorder="0" applyAlignment="0" applyProtection="0"/>
  </cellStyleXfs>
  <cellXfs count="70">
    <xf numFmtId="0" fontId="0" fillId="0" borderId="0" xfId="0"/>
    <xf numFmtId="0" fontId="3" fillId="2" borderId="0" xfId="1" applyFont="1" applyFill="1" applyBorder="1" applyAlignment="1">
      <alignment horizontal="left" wrapText="1"/>
    </xf>
    <xf numFmtId="0" fontId="5" fillId="3" borderId="0" xfId="0" applyFont="1" applyFill="1" applyBorder="1" applyAlignment="1">
      <alignment vertical="center" wrapText="1"/>
    </xf>
    <xf numFmtId="0" fontId="8" fillId="3" borderId="0" xfId="0" applyFont="1" applyFill="1" applyBorder="1" applyAlignment="1">
      <alignment vertical="center" wrapText="1"/>
    </xf>
    <xf numFmtId="165" fontId="8" fillId="3" borderId="0" xfId="0" applyNumberFormat="1" applyFont="1" applyFill="1" applyBorder="1" applyAlignment="1">
      <alignment vertical="center" wrapText="1"/>
    </xf>
    <xf numFmtId="0" fontId="5" fillId="3" borderId="0" xfId="0" applyFont="1" applyFill="1" applyAlignment="1">
      <alignment horizontal="left" vertical="center" wrapText="1"/>
    </xf>
    <xf numFmtId="0" fontId="5" fillId="3" borderId="0" xfId="0" applyFont="1" applyFill="1" applyAlignment="1">
      <alignment vertical="center" wrapText="1"/>
    </xf>
    <xf numFmtId="0" fontId="10" fillId="3" borderId="0" xfId="0" applyFont="1" applyFill="1" applyBorder="1" applyAlignment="1">
      <alignment horizontal="left" vertical="center" wrapText="1"/>
    </xf>
    <xf numFmtId="164" fontId="5" fillId="3" borderId="0" xfId="0" applyNumberFormat="1" applyFont="1" applyFill="1" applyBorder="1" applyAlignment="1">
      <alignment vertical="center" wrapText="1"/>
    </xf>
    <xf numFmtId="165" fontId="11" fillId="3" borderId="0" xfId="0" applyNumberFormat="1" applyFont="1" applyFill="1" applyBorder="1" applyAlignment="1">
      <alignment vertical="center" wrapText="1"/>
    </xf>
    <xf numFmtId="0" fontId="5" fillId="3" borderId="0" xfId="0" applyFont="1" applyFill="1" applyBorder="1" applyAlignment="1">
      <alignment horizontal="left" vertical="center" wrapText="1"/>
    </xf>
    <xf numFmtId="164" fontId="10" fillId="3" borderId="0" xfId="0" applyNumberFormat="1" applyFont="1" applyFill="1" applyBorder="1" applyAlignment="1">
      <alignment vertical="center" wrapText="1"/>
    </xf>
    <xf numFmtId="0" fontId="9" fillId="6" borderId="0" xfId="0" applyFont="1" applyFill="1" applyBorder="1" applyAlignment="1" applyProtection="1">
      <alignment horizontal="left" vertical="center" wrapText="1"/>
      <protection locked="0"/>
    </xf>
    <xf numFmtId="0" fontId="9" fillId="6" borderId="0" xfId="0" applyFont="1" applyFill="1" applyBorder="1" applyAlignment="1">
      <alignment horizontal="center" vertical="center" wrapText="1"/>
    </xf>
    <xf numFmtId="0" fontId="14" fillId="6" borderId="0" xfId="0" applyNumberFormat="1" applyFont="1" applyFill="1" applyBorder="1" applyAlignment="1">
      <alignment vertical="center" wrapText="1"/>
    </xf>
    <xf numFmtId="0" fontId="15" fillId="6" borderId="0" xfId="0" applyNumberFormat="1" applyFont="1" applyFill="1" applyBorder="1" applyAlignment="1">
      <alignment vertical="center" wrapText="1"/>
    </xf>
    <xf numFmtId="0" fontId="15" fillId="6" borderId="0" xfId="0" applyNumberFormat="1" applyFont="1" applyFill="1" applyBorder="1" applyAlignment="1">
      <alignment horizontal="left" vertical="center" wrapText="1"/>
    </xf>
    <xf numFmtId="0" fontId="16" fillId="3" borderId="0" xfId="0" applyFont="1" applyFill="1"/>
    <xf numFmtId="0" fontId="16" fillId="3" borderId="0" xfId="0" applyFont="1" applyFill="1" applyAlignment="1">
      <alignment vertical="center" wrapText="1"/>
    </xf>
    <xf numFmtId="0" fontId="16" fillId="3" borderId="0" xfId="0" applyFont="1" applyFill="1" applyBorder="1"/>
    <xf numFmtId="0" fontId="18" fillId="3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vertical="center" wrapText="1"/>
    </xf>
    <xf numFmtId="0" fontId="9" fillId="6" borderId="0" xfId="0" applyNumberFormat="1" applyFont="1" applyFill="1" applyBorder="1" applyAlignment="1">
      <alignment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vertical="center" wrapText="1"/>
    </xf>
    <xf numFmtId="0" fontId="7" fillId="3" borderId="7" xfId="0" applyFont="1" applyFill="1" applyBorder="1" applyAlignment="1">
      <alignment horizontal="left" vertical="center" wrapText="1"/>
    </xf>
    <xf numFmtId="0" fontId="7" fillId="3" borderId="4" xfId="0" applyFont="1" applyFill="1" applyBorder="1" applyAlignment="1">
      <alignment horizontal="left" vertical="center" wrapText="1"/>
    </xf>
    <xf numFmtId="0" fontId="13" fillId="6" borderId="0" xfId="0" applyNumberFormat="1" applyFont="1" applyFill="1" applyBorder="1" applyAlignment="1">
      <alignment vertical="center"/>
    </xf>
    <xf numFmtId="0" fontId="7" fillId="4" borderId="1" xfId="0" applyFont="1" applyFill="1" applyBorder="1" applyAlignment="1">
      <alignment horizontal="left" vertical="center" wrapText="1"/>
    </xf>
    <xf numFmtId="0" fontId="7" fillId="4" borderId="7" xfId="0" applyFont="1" applyFill="1" applyBorder="1" applyAlignment="1">
      <alignment horizontal="left" vertical="center" wrapText="1"/>
    </xf>
    <xf numFmtId="0" fontId="7" fillId="4" borderId="4" xfId="0" applyFont="1" applyFill="1" applyBorder="1" applyAlignment="1">
      <alignment horizontal="left" vertical="center" wrapText="1"/>
    </xf>
    <xf numFmtId="0" fontId="9" fillId="6" borderId="0" xfId="0" applyNumberFormat="1" applyFont="1" applyFill="1" applyBorder="1" applyAlignment="1">
      <alignment horizontal="left" vertical="center" wrapText="1"/>
    </xf>
    <xf numFmtId="0" fontId="13" fillId="6" borderId="0" xfId="0" applyNumberFormat="1" applyFont="1" applyFill="1" applyBorder="1" applyAlignment="1">
      <alignment vertical="center" wrapText="1"/>
    </xf>
    <xf numFmtId="0" fontId="17" fillId="3" borderId="0" xfId="0" applyNumberFormat="1" applyFont="1" applyFill="1" applyBorder="1" applyAlignment="1">
      <alignment vertical="center" wrapText="1"/>
    </xf>
    <xf numFmtId="164" fontId="17" fillId="3" borderId="0" xfId="0" applyNumberFormat="1" applyFont="1" applyFill="1" applyBorder="1" applyAlignment="1">
      <alignment vertical="center" wrapText="1"/>
    </xf>
    <xf numFmtId="0" fontId="17" fillId="3" borderId="0" xfId="0" applyFont="1" applyFill="1" applyBorder="1" applyAlignment="1">
      <alignment vertical="center"/>
    </xf>
    <xf numFmtId="0" fontId="12" fillId="3" borderId="0" xfId="0" applyFont="1" applyFill="1" applyBorder="1" applyAlignment="1">
      <alignment vertical="center" wrapText="1"/>
    </xf>
    <xf numFmtId="0" fontId="16" fillId="3" borderId="0" xfId="0" applyFont="1" applyFill="1" applyBorder="1" applyAlignment="1">
      <alignment vertical="center" wrapText="1"/>
    </xf>
    <xf numFmtId="0" fontId="7" fillId="3" borderId="9" xfId="0" applyFont="1" applyFill="1" applyBorder="1" applyAlignment="1">
      <alignment horizontal="left" vertical="center" wrapText="1"/>
    </xf>
    <xf numFmtId="166" fontId="8" fillId="3" borderId="0" xfId="0" applyNumberFormat="1" applyFont="1" applyFill="1" applyBorder="1" applyAlignment="1">
      <alignment vertical="center" wrapText="1"/>
    </xf>
    <xf numFmtId="166" fontId="17" fillId="3" borderId="0" xfId="0" applyNumberFormat="1" applyFont="1" applyFill="1" applyBorder="1" applyAlignment="1">
      <alignment vertical="center" wrapText="1"/>
    </xf>
    <xf numFmtId="166" fontId="17" fillId="3" borderId="0" xfId="0" applyNumberFormat="1" applyFont="1" applyFill="1" applyBorder="1" applyAlignment="1">
      <alignment vertical="center"/>
    </xf>
    <xf numFmtId="166" fontId="7" fillId="3" borderId="3" xfId="0" applyNumberFormat="1" applyFont="1" applyFill="1" applyBorder="1" applyAlignment="1">
      <alignment vertical="center" wrapText="1"/>
    </xf>
    <xf numFmtId="166" fontId="7" fillId="3" borderId="8" xfId="0" applyNumberFormat="1" applyFont="1" applyFill="1" applyBorder="1" applyAlignment="1">
      <alignment vertical="center" wrapText="1"/>
    </xf>
    <xf numFmtId="166" fontId="7" fillId="3" borderId="6" xfId="0" applyNumberFormat="1" applyFont="1" applyFill="1" applyBorder="1" applyAlignment="1">
      <alignment vertical="center" wrapText="1"/>
    </xf>
    <xf numFmtId="166" fontId="17" fillId="3" borderId="8" xfId="0" applyNumberFormat="1" applyFont="1" applyFill="1" applyBorder="1" applyAlignment="1">
      <alignment vertical="center" wrapText="1"/>
    </xf>
    <xf numFmtId="166" fontId="17" fillId="3" borderId="6" xfId="0" applyNumberFormat="1" applyFont="1" applyFill="1" applyBorder="1" applyAlignment="1">
      <alignment vertical="center" wrapText="1"/>
    </xf>
    <xf numFmtId="166" fontId="17" fillId="3" borderId="10" xfId="0" applyNumberFormat="1" applyFont="1" applyFill="1" applyBorder="1" applyAlignment="1">
      <alignment vertical="center" wrapText="1"/>
    </xf>
    <xf numFmtId="166" fontId="16" fillId="3" borderId="0" xfId="0" applyNumberFormat="1" applyFont="1" applyFill="1" applyBorder="1" applyAlignment="1">
      <alignment vertical="center" wrapText="1"/>
    </xf>
    <xf numFmtId="166" fontId="7" fillId="3" borderId="5" xfId="0" applyNumberFormat="1" applyFont="1" applyFill="1" applyBorder="1" applyAlignment="1">
      <alignment vertical="center" wrapText="1"/>
    </xf>
    <xf numFmtId="0" fontId="2" fillId="2" borderId="0" xfId="1" applyFont="1" applyFill="1" applyBorder="1" applyAlignment="1">
      <alignment horizontal="left"/>
    </xf>
    <xf numFmtId="0" fontId="4" fillId="5" borderId="1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6" fillId="5" borderId="11" xfId="0" applyFont="1" applyFill="1" applyBorder="1" applyAlignment="1">
      <alignment horizontal="left" vertical="center" wrapText="1"/>
    </xf>
    <xf numFmtId="0" fontId="6" fillId="5" borderId="12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horizontal="left" vertical="center" wrapText="1"/>
    </xf>
    <xf numFmtId="0" fontId="6" fillId="5" borderId="3" xfId="0" applyFont="1" applyFill="1" applyBorder="1" applyAlignment="1">
      <alignment horizontal="left" vertical="center" wrapText="1"/>
    </xf>
    <xf numFmtId="0" fontId="18" fillId="3" borderId="0" xfId="0" applyFont="1" applyFill="1" applyBorder="1" applyAlignment="1">
      <alignment horizontal="left" vertical="center" wrapText="1"/>
    </xf>
    <xf numFmtId="0" fontId="0" fillId="3" borderId="0" xfId="0" applyFill="1"/>
    <xf numFmtId="0" fontId="0" fillId="3" borderId="14" xfId="0" applyFill="1" applyBorder="1"/>
    <xf numFmtId="0" fontId="0" fillId="3" borderId="16" xfId="0" applyFill="1" applyBorder="1"/>
    <xf numFmtId="166" fontId="0" fillId="3" borderId="15" xfId="0" applyNumberFormat="1" applyFill="1" applyBorder="1"/>
    <xf numFmtId="166" fontId="0" fillId="3" borderId="17" xfId="0" applyNumberFormat="1" applyFill="1" applyBorder="1"/>
    <xf numFmtId="166" fontId="0" fillId="3" borderId="18" xfId="0" applyNumberFormat="1" applyFill="1" applyBorder="1"/>
    <xf numFmtId="44" fontId="0" fillId="3" borderId="0" xfId="2" applyFont="1" applyFill="1"/>
    <xf numFmtId="44" fontId="0" fillId="3" borderId="13" xfId="2" applyFont="1" applyFill="1" applyBorder="1"/>
    <xf numFmtId="44" fontId="0" fillId="3" borderId="17" xfId="2" applyFont="1" applyFill="1" applyBorder="1"/>
    <xf numFmtId="0" fontId="4" fillId="5" borderId="19" xfId="0" applyFont="1" applyFill="1" applyBorder="1" applyAlignment="1">
      <alignment horizontal="center" vertical="center" wrapText="1"/>
    </xf>
    <xf numFmtId="0" fontId="4" fillId="5" borderId="20" xfId="0" applyFont="1" applyFill="1" applyBorder="1" applyAlignment="1">
      <alignment horizontal="center" vertical="center" wrapText="1"/>
    </xf>
  </cellXfs>
  <cellStyles count="3">
    <cellStyle name="Currency" xfId="2" builtinId="4"/>
    <cellStyle name="Normal" xfId="0" builtinId="0"/>
    <cellStyle name="Title" xfId="1" builtinId="15"/>
  </cellStyles>
  <dxfs count="1872"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4" formatCode="&quot;$&quot;#,##0_);[Red]\(&quot;$&quot;#,##0\)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4" formatCode="&quot;$&quot;#,##0_);[Red]\(&quot;$&quot;#,##0\)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4" formatCode="&quot;$&quot;#,##0_);[Red]\(&quot;$&quot;#,##0\)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7" formatCode="\$#,##0_);[Red]\(\$#,##0\)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7" formatCode="\$#,##0_);[Red]\(\$#,##0\)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8" formatCode="\$#,##0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8" formatCode="\$#,##0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8" formatCode="\$#,##0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8" formatCode="\$#,##0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8" formatCode="\$#,##0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8" formatCode="\$#,##0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7" formatCode="\$#,##0_);[Red]\(\$#,##0\)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7" formatCode="\$#,##0_);[Red]\(\$#,##0\)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8" formatCode="\$#,##0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8" formatCode="\$#,##0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8" formatCode="\$#,##0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8" formatCode="\$#,##0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4" formatCode="&quot;$&quot;#,##0_);[Red]\(&quot;$&quot;#,##0\)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4" formatCode="&quot;$&quot;#,##0_);[Red]\(&quot;$&quot;#,##0\)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4" formatCode="&quot;$&quot;#,##0_);[Red]\(&quot;$&quot;#,##0\)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8" formatCode="\$#,##0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8" formatCode="\$#,##0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7" formatCode="\$#,##0_);[Red]\(\$#,##0\)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7" formatCode="\$#,##0_);[Red]\(\$#,##0\)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8" formatCode="\$#,##0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8" formatCode="\$#,##0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8" formatCode="\$#,##0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8" formatCode="\$#,##0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4" formatCode="&quot;$&quot;#,##0_);[Red]\(&quot;$&quot;#,##0\)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4" formatCode="&quot;$&quot;#,##0_);[Red]\(&quot;$&quot;#,##0\)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4" formatCode="&quot;$&quot;#,##0_);[Red]\(&quot;$&quot;#,##0\)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8" formatCode="\$#,##0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8" formatCode="\$#,##0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7" formatCode="\$#,##0_);[Red]\(\$#,##0\)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7" formatCode="\$#,##0_);[Red]\(\$#,##0\)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8" formatCode="\$#,##0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8" formatCode="\$#,##0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8" formatCode="\$#,##0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8" formatCode="\$#,##0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4" formatCode="&quot;$&quot;#,##0_);[Red]\(&quot;$&quot;#,##0\)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4" formatCode="&quot;$&quot;#,##0_);[Red]\(&quot;$&quot;#,##0\)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4" formatCode="&quot;$&quot;#,##0_);[Red]\(&quot;$&quot;#,##0\)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8" formatCode="\$#,##0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8" formatCode="\$#,##0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7" formatCode="\$#,##0_);[Red]\(\$#,##0\)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7" formatCode="\$#,##0_);[Red]\(\$#,##0\)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8" formatCode="\$#,##0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8" formatCode="\$#,##0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8" formatCode="\$#,##0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8" formatCode="\$#,##0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4" formatCode="&quot;$&quot;#,##0_);[Red]\(&quot;$&quot;#,##0\)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4" formatCode="&quot;$&quot;#,##0_);[Red]\(&quot;$&quot;#,##0\)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4" formatCode="&quot;$&quot;#,##0_);[Red]\(&quot;$&quot;#,##0\)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8" formatCode="\$#,##0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8" formatCode="\$#,##0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7" formatCode="\$#,##0_);[Red]\(\$#,##0\)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7" formatCode="\$#,##0_);[Red]\(\$#,##0\)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8" formatCode="\$#,##0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8" formatCode="\$#,##0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8" formatCode="\$#,##0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8" formatCode="\$#,##0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4" formatCode="&quot;$&quot;#,##0_);[Red]\(&quot;$&quot;#,##0\)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4" formatCode="&quot;$&quot;#,##0_);[Red]\(&quot;$&quot;#,##0\)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4" formatCode="&quot;$&quot;#,##0_);[Red]\(&quot;$&quot;#,##0\)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8" formatCode="\$#,##0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8" formatCode="\$#,##0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7" formatCode="\$#,##0_);[Red]\(\$#,##0\)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7" formatCode="\$#,##0_);[Red]\(\$#,##0\)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8" formatCode="\$#,##0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8" formatCode="\$#,##0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8" formatCode="\$#,##0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8" formatCode="\$#,##0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4" formatCode="&quot;$&quot;#,##0_);[Red]\(&quot;$&quot;#,##0\)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4" formatCode="&quot;$&quot;#,##0_);[Red]\(&quot;$&quot;#,##0\)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4" formatCode="&quot;$&quot;#,##0_);[Red]\(&quot;$&quot;#,##0\)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8" formatCode="\$#,##0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8" formatCode="\$#,##0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7" formatCode="\$#,##0_);[Red]\(\$#,##0\)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7" formatCode="\$#,##0_);[Red]\(\$#,##0\)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8" formatCode="\$#,##0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8" formatCode="\$#,##0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8" formatCode="\$#,##0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8" formatCode="\$#,##0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4" formatCode="&quot;$&quot;#,##0_);[Red]\(&quot;$&quot;#,##0\)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4" formatCode="&quot;$&quot;#,##0_);[Red]\(&quot;$&quot;#,##0\)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4" formatCode="&quot;$&quot;#,##0_);[Red]\(&quot;$&quot;#,##0\)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8" formatCode="\$#,##0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8" formatCode="\$#,##0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7" formatCode="\$#,##0_);[Red]\(\$#,##0\)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7" formatCode="\$#,##0_);[Red]\(\$#,##0\)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8" formatCode="\$#,##0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8" formatCode="\$#,##0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8" formatCode="\$#,##0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8" formatCode="\$#,##0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4" formatCode="&quot;$&quot;#,##0_);[Red]\(&quot;$&quot;#,##0\)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4" formatCode="&quot;$&quot;#,##0_);[Red]\(&quot;$&quot;#,##0\)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4" formatCode="&quot;$&quot;#,##0_);[Red]\(&quot;$&quot;#,##0\)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8" formatCode="\$#,##0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8" formatCode="\$#,##0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7" formatCode="\$#,##0_);[Red]\(\$#,##0\)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7" formatCode="\$#,##0_);[Red]\(\$#,##0\)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8" formatCode="\$#,##0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8" formatCode="\$#,##0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8" formatCode="\$#,##0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8" formatCode="\$#,##0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4" formatCode="&quot;$&quot;#,##0_);[Red]\(&quot;$&quot;#,##0\)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4" formatCode="&quot;$&quot;#,##0_);[Red]\(&quot;$&quot;#,##0\)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4" formatCode="&quot;$&quot;#,##0_);[Red]\(&quot;$&quot;#,##0\)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8" formatCode="\$#,##0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8" formatCode="\$#,##0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7" formatCode="\$#,##0_);[Red]\(\$#,##0\)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7" formatCode="\$#,##0_);[Red]\(\$#,##0\)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8" formatCode="\$#,##0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8" formatCode="\$#,##0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8" formatCode="\$#,##0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8" formatCode="\$#,##0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4" formatCode="&quot;$&quot;#,##0_);[Red]\(&quot;$&quot;#,##0\)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4" formatCode="&quot;$&quot;#,##0_);[Red]\(&quot;$&quot;#,##0\)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4" formatCode="&quot;$&quot;#,##0_);[Red]\(&quot;$&quot;#,##0\)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8" formatCode="\$#,##0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8" formatCode="\$#,##0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7" formatCode="\$#,##0_);[Red]\(\$#,##0\)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7" formatCode="\$#,##0_);[Red]\(\$#,##0\)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8" formatCode="\$#,##0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8" formatCode="\$#,##0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8" formatCode="\$#,##0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8" formatCode="\$#,##0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4" formatCode="&quot;$&quot;#,##0_);[Red]\(&quot;$&quot;#,##0\)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4" formatCode="&quot;$&quot;#,##0_);[Red]\(&quot;$&quot;#,##0\)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4" formatCode="&quot;$&quot;#,##0_);[Red]\(&quot;$&quot;#,##0\)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8" formatCode="\$#,##0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8" formatCode="\$#,##0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border diagonalUp="0" diagonalDown="0">
        <left style="medium">
          <color rgb="FF000000"/>
        </left>
        <right style="medium">
          <color rgb="FF000000"/>
        </right>
        <top style="medium">
          <color rgb="FF000000"/>
        </top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rgb="FFFFFFFF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\$#,##0_);[Red]\(\$#,##0\)"/>
      <fill>
        <patternFill patternType="none">
          <fgColor rgb="FF000000"/>
          <bgColor rgb="FFFFFFFF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theme="0"/>
        </patternFill>
      </fill>
      <alignment horizontal="general" vertical="center" textRotation="0" wrapText="1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7" formatCode="\$#,##0_);[Red]\(\$#,##0\)"/>
      <fill>
        <patternFill patternType="none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7" formatCode="\$#,##0_);[Red]\(\$#,##0\)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theme="0"/>
        </patternFill>
      </fill>
      <alignment horizontal="general" vertical="center" textRotation="0" wrapText="1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7" formatCode="\$#,##0_);[Red]\(\$#,##0\)"/>
      <fill>
        <patternFill patternType="none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7" formatCode="\$#,##0_);[Red]\(\$#,##0\)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theme="0"/>
        </patternFill>
      </fill>
      <alignment horizontal="general" vertical="center" textRotation="0" wrapText="1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8" formatCode="\$#,##0"/>
      <fill>
        <patternFill patternType="none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8" formatCode="\$#,##0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theme="0"/>
        </patternFill>
      </fill>
      <alignment horizontal="general" vertical="center" textRotation="0" wrapText="1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8" formatCode="\$#,##0"/>
      <fill>
        <patternFill patternType="none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8" formatCode="\$#,##0"/>
      <fill>
        <patternFill patternType="solid">
          <fgColor indexed="64"/>
          <bgColor theme="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4" formatCode="&quot;$&quot;#,##0_);[Red]\(&quot;$&quot;#,##0\)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4" formatCode="&quot;$&quot;#,##0_);[Red]\(&quot;$&quot;#,##0\)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4" formatCode="&quot;$&quot;#,##0_);[Red]\(&quot;$&quot;#,##0\)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theme="0"/>
        </patternFill>
      </fill>
      <alignment horizontal="general" vertical="center" textRotation="0" wrapText="1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7" formatCode="\$#,##0_);[Red]\(\$#,##0\)"/>
      <fill>
        <patternFill patternType="none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theme="0"/>
        </patternFill>
      </fill>
      <alignment horizontal="general" vertical="center" textRotation="0" wrapText="1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7" formatCode="\$#,##0_);[Red]\(\$#,##0\)"/>
      <fill>
        <patternFill patternType="none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theme="0"/>
        </patternFill>
      </fill>
      <alignment horizontal="general" vertical="center" textRotation="0" wrapText="1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7" formatCode="\$#,##0_);[Red]\(\$#,##0\)"/>
      <fill>
        <patternFill patternType="none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theme="0"/>
        </patternFill>
      </fill>
      <alignment horizontal="general" vertical="center" textRotation="0" wrapText="1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7" formatCode="\$#,##0_);[Red]\(\$#,##0\)"/>
      <fill>
        <patternFill patternType="none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theme="0"/>
        </patternFill>
      </fill>
      <alignment horizontal="general" vertical="center" textRotation="0" wrapText="1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7" formatCode="\$#,##0_);[Red]\(\$#,##0\)"/>
      <fill>
        <patternFill patternType="none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theme="0"/>
        </patternFill>
      </fill>
      <alignment horizontal="general" vertical="center" textRotation="0" wrapText="1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7" formatCode="\$#,##0_);[Red]\(\$#,##0\)"/>
      <fill>
        <patternFill patternType="none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theme="0"/>
        </patternFill>
      </fill>
      <alignment horizontal="general" vertical="center" textRotation="0" wrapText="1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8" formatCode="\$#,##0"/>
      <fill>
        <patternFill patternType="none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ajor"/>
      </font>
      <numFmt numFmtId="168" formatCode="\$#,##0"/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numFmt numFmtId="165" formatCode="&quot;$&quot;#,##0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6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numFmt numFmtId="166" formatCode="_-[$RD$-1C0A]* #,##0.00_-;\-[$RD$-1C0A]* #,##0.00_-;_-[$RD$-1C0A]* &quot;-&quot;??_-;_-@_-"/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outline val="0"/>
        <shadow val="0"/>
        <u val="none"/>
        <vertAlign val="baseline"/>
        <color auto="1"/>
        <name val="Calibri"/>
        <scheme val="minor"/>
      </font>
      <fill>
        <patternFill>
          <bgColor theme="0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67" formatCode="\$#,##0_);[Red]\(\$#,##0\)"/>
      <fill>
        <patternFill>
          <bgColor theme="0"/>
        </patternFill>
      </fill>
      <alignment horizontal="general" vertical="center" textRotation="0" wrapText="1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67" formatCode="\$#,##0_);[Red]\(\$#,##0\)"/>
      <fill>
        <patternFill patternType="none">
          <fgColor indexed="64"/>
          <bgColor theme="0"/>
        </patternFill>
      </fill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5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cat>
            <c:strRef>
              <c:f>(Enero!$B$15:$B$24,Enero!$B$28:$B$34,Enero!$B$38:$B$41,Enero!$B$45:$B$47,Enero!$B$51:$B$59,Enero!$G$54:$G$59,Enero!$G$45:$G$50,Enero!$G$37:$G$41,Enero!$G$31:$G$33,Enero!$G$21:$G$27,Enero!$B$7:$B$11)</c:f>
              <c:strCache>
                <c:ptCount val="65"/>
                <c:pt idx="0">
                  <c:v>Alquiler</c:v>
                </c:pt>
                <c:pt idx="1">
                  <c:v>Suministros</c:v>
                </c:pt>
                <c:pt idx="2">
                  <c:v>Otros gastos</c:v>
                </c:pt>
                <c:pt idx="3">
                  <c:v>Agua</c:v>
                </c:pt>
                <c:pt idx="4">
                  <c:v>Recogida de Basura</c:v>
                </c:pt>
                <c:pt idx="5">
                  <c:v>Mantenimiento o reparaciones</c:v>
                </c:pt>
                <c:pt idx="6">
                  <c:v>Gas</c:v>
                </c:pt>
                <c:pt idx="7">
                  <c:v>Cable</c:v>
                </c:pt>
                <c:pt idx="8">
                  <c:v>Telefono</c:v>
                </c:pt>
                <c:pt idx="9">
                  <c:v>Electricidad</c:v>
                </c:pt>
                <c:pt idx="10">
                  <c:v>Prestamo vehicular 1</c:v>
                </c:pt>
                <c:pt idx="11">
                  <c:v>Prestamo vehicular 2</c:v>
                </c:pt>
                <c:pt idx="12">
                  <c:v>Bus/Taxi/ Metro</c:v>
                </c:pt>
                <c:pt idx="13">
                  <c:v>Combustible</c:v>
                </c:pt>
                <c:pt idx="14">
                  <c:v>Seguro</c:v>
                </c:pt>
                <c:pt idx="15">
                  <c:v>Mantenimiento</c:v>
                </c:pt>
                <c:pt idx="16">
                  <c:v>Otros gastos</c:v>
                </c:pt>
                <c:pt idx="17">
                  <c:v>hogar</c:v>
                </c:pt>
                <c:pt idx="18">
                  <c:v>salud</c:v>
                </c:pt>
                <c:pt idx="19">
                  <c:v>vida</c:v>
                </c:pt>
                <c:pt idx="20">
                  <c:v>otro</c:v>
                </c:pt>
                <c:pt idx="21">
                  <c:v>supermercado</c:v>
                </c:pt>
                <c:pt idx="22">
                  <c:v>restaurantes</c:v>
                </c:pt>
                <c:pt idx="23">
                  <c:v>otros gastos</c:v>
                </c:pt>
                <c:pt idx="24">
                  <c:v>Gastos medicos</c:v>
                </c:pt>
                <c:pt idx="25">
                  <c:v>Vestimenta</c:v>
                </c:pt>
                <c:pt idx="26">
                  <c:v>Pago Escolar</c:v>
                </c:pt>
                <c:pt idx="27">
                  <c:v>Materiales Escolares</c:v>
                </c:pt>
                <c:pt idx="28">
                  <c:v>Organization dues or fees</c:v>
                </c:pt>
                <c:pt idx="29">
                  <c:v>Merienda o almuerzo</c:v>
                </c:pt>
                <c:pt idx="30">
                  <c:v>Cuidado de niño</c:v>
                </c:pt>
                <c:pt idx="31">
                  <c:v>Juegos/ Juguetes</c:v>
                </c:pt>
                <c:pt idx="32">
                  <c:v>Otros</c:v>
                </c:pt>
                <c:pt idx="33">
                  <c:v>Personal</c:v>
                </c:pt>
                <c:pt idx="34">
                  <c:v>Estudiantil</c:v>
                </c:pt>
                <c:pt idx="35">
                  <c:v>Tarjeta Credito 1</c:v>
                </c:pt>
                <c:pt idx="36">
                  <c:v>Tarjeta Credito 2</c:v>
                </c:pt>
                <c:pt idx="37">
                  <c:v>Tarjeta Credito 3</c:v>
                </c:pt>
                <c:pt idx="38">
                  <c:v>Otros</c:v>
                </c:pt>
                <c:pt idx="39">
                  <c:v>Medicos</c:v>
                </c:pt>
                <c:pt idx="40">
                  <c:v>Peluqueria/Salon</c:v>
                </c:pt>
                <c:pt idx="41">
                  <c:v>Vestimenta</c:v>
                </c:pt>
                <c:pt idx="42">
                  <c:v>Lavanderia</c:v>
                </c:pt>
                <c:pt idx="43">
                  <c:v>Gimnasio</c:v>
                </c:pt>
                <c:pt idx="44">
                  <c:v>Otros</c:v>
                </c:pt>
                <c:pt idx="45">
                  <c:v>alimento</c:v>
                </c:pt>
                <c:pt idx="46">
                  <c:v>gastos medicos</c:v>
                </c:pt>
                <c:pt idx="47">
                  <c:v>peluqueria</c:v>
                </c:pt>
                <c:pt idx="48">
                  <c:v>juguetes</c:v>
                </c:pt>
                <c:pt idx="49">
                  <c:v>otros gastos</c:v>
                </c:pt>
                <c:pt idx="50">
                  <c:v>fundacion 1</c:v>
                </c:pt>
                <c:pt idx="51">
                  <c:v>fundacion 2</c:v>
                </c:pt>
                <c:pt idx="52">
                  <c:v>fundacion 3</c:v>
                </c:pt>
                <c:pt idx="53">
                  <c:v> Alquiler Video/DVD</c:v>
                </c:pt>
                <c:pt idx="54">
                  <c:v>Eventos sociales</c:v>
                </c:pt>
                <c:pt idx="55">
                  <c:v>Cine</c:v>
                </c:pt>
                <c:pt idx="56">
                  <c:v>Conciertos</c:v>
                </c:pt>
                <c:pt idx="57">
                  <c:v>Eventos deportivos</c:v>
                </c:pt>
                <c:pt idx="58">
                  <c:v>Teatro</c:v>
                </c:pt>
                <c:pt idx="59">
                  <c:v>Otros</c:v>
                </c:pt>
                <c:pt idx="60">
                  <c:v>Plan de Retiro</c:v>
                </c:pt>
                <c:pt idx="61">
                  <c:v>Cuenta de Inversion</c:v>
                </c:pt>
                <c:pt idx="62">
                  <c:v>Universidad de los hijos</c:v>
                </c:pt>
                <c:pt idx="63">
                  <c:v>Fondo de Emergencia</c:v>
                </c:pt>
                <c:pt idx="64">
                  <c:v>Otros ahorros</c:v>
                </c:pt>
              </c:strCache>
            </c:strRef>
          </c:cat>
          <c:val>
            <c:numRef>
              <c:f>(Enero!$C$15:$C$24,Enero!$C$28:$C$34,Enero!$C$38:$C$41,Enero!$C$45:$C$47,Enero!$C$51:$C$59,Enero!$H$63:$H$65,Enero!$H$54:$H$59,Enero!$H$45:$H$50,Enero!$H$37:$H$41,Enero!$H$31:$H$33,Enero!$H$21:$H$27,Enero!$C$7:$C$11)</c:f>
              <c:numCache>
                <c:formatCode>_-[$RD$-1C0A]* #,##0.00_-;\-[$RD$-1C0A]* #,##0.00_-;_-[$RD$-1C0A]* "-"??_-;_-@_-</c:formatCode>
                <c:ptCount val="68"/>
                <c:pt idx="0">
                  <c:v>16000</c:v>
                </c:pt>
                <c:pt idx="1">
                  <c:v>0</c:v>
                </c:pt>
                <c:pt idx="2">
                  <c:v>0</c:v>
                </c:pt>
                <c:pt idx="3">
                  <c:v>200</c:v>
                </c:pt>
                <c:pt idx="4">
                  <c:v>100</c:v>
                </c:pt>
                <c:pt idx="5">
                  <c:v>0</c:v>
                </c:pt>
                <c:pt idx="6">
                  <c:v>1000</c:v>
                </c:pt>
                <c:pt idx="7">
                  <c:v>450</c:v>
                </c:pt>
                <c:pt idx="8">
                  <c:v>1800</c:v>
                </c:pt>
                <c:pt idx="9">
                  <c:v>500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500</c:v>
                </c:pt>
                <c:pt idx="19">
                  <c:v>0</c:v>
                </c:pt>
                <c:pt idx="20">
                  <c:v>0</c:v>
                </c:pt>
                <c:pt idx="21">
                  <c:v>2000</c:v>
                </c:pt>
                <c:pt idx="22">
                  <c:v>4000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44">
                  <c:v>1000</c:v>
                </c:pt>
                <c:pt idx="56">
                  <c:v>0</c:v>
                </c:pt>
                <c:pt idx="57">
                  <c:v>5000</c:v>
                </c:pt>
                <c:pt idx="58">
                  <c:v>700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3">
                  <c:v>5000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accent1">
        <a:lumMod val="60000"/>
        <a:lumOff val="40000"/>
      </a:schemeClr>
    </a:solidFill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>
                <a:effectLst/>
              </a:rPr>
              <a:t>Gastos por Categoria</a:t>
            </a:r>
            <a:endParaRPr lang="es-DO">
              <a:effectLst/>
            </a:endParaRP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invertIfNegative val="0"/>
          <c:cat>
            <c:strRef>
              <c:f>(Mayo!$B$6,Mayo!$B$14,Mayo!$B$27,Mayo!$B$37,Mayo!$B$44,Mayo!$B$50,Mayo!$G$62,Mayo!$G$53,Mayo!$G$44,Mayo!$G$36,Mayo!$G$30,Mayo!$G$20)</c:f>
              <c:strCache>
                <c:ptCount val="12"/>
                <c:pt idx="0">
                  <c:v>Ahorro/ Inversiones</c:v>
                </c:pt>
                <c:pt idx="1">
                  <c:v>Vivienda</c:v>
                </c:pt>
                <c:pt idx="2">
                  <c:v>Transporte</c:v>
                </c:pt>
                <c:pt idx="3">
                  <c:v>Seguros</c:v>
                </c:pt>
                <c:pt idx="4">
                  <c:v>Comida</c:v>
                </c:pt>
                <c:pt idx="5">
                  <c:v>Niños</c:v>
                </c:pt>
                <c:pt idx="6">
                  <c:v>Gastos Legales</c:v>
                </c:pt>
                <c:pt idx="7">
                  <c:v>Gastos Financieros/ Prestamos</c:v>
                </c:pt>
                <c:pt idx="8">
                  <c:v>Cuidado Personal</c:v>
                </c:pt>
                <c:pt idx="9">
                  <c:v>Mascotas</c:v>
                </c:pt>
                <c:pt idx="10">
                  <c:v>Regalos y Donaciones</c:v>
                </c:pt>
                <c:pt idx="11">
                  <c:v>Entretenimiento</c:v>
                </c:pt>
              </c:strCache>
            </c:strRef>
          </c:cat>
          <c:val>
            <c:numRef>
              <c:f>(Mayo!$D$12,Mayo!$D$25,Mayo!$D$35,Mayo!$D$42,Mayo!$D$48,Mayo!$D$60,Mayo!$I$66,Mayo!$I$60,Mayo!$I$51,Mayo!$I$42,Mayo!$I$34,Mayo!$I$28)</c:f>
              <c:numCache>
                <c:formatCode>_-[$RD$-1C0A]* #,##0.00_-;\-[$RD$-1C0A]* #,##0.00_-;_-[$RD$-1C0A]* "-"??_-;_-@_-</c:formatCode>
                <c:ptCount val="12"/>
                <c:pt idx="0">
                  <c:v>5000</c:v>
                </c:pt>
                <c:pt idx="1">
                  <c:v>19244</c:v>
                </c:pt>
                <c:pt idx="2">
                  <c:v>4000</c:v>
                </c:pt>
                <c:pt idx="3">
                  <c:v>500</c:v>
                </c:pt>
                <c:pt idx="4">
                  <c:v>5500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</c:v>
                </c:pt>
                <c:pt idx="9">
                  <c:v>0</c:v>
                </c:pt>
                <c:pt idx="10">
                  <c:v>0</c:v>
                </c:pt>
                <c:pt idx="11" formatCode="&quot;$&quot;#,##0_);[Red]\(&quot;$&quot;#,##0\)">
                  <c:v>5000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14420736"/>
        <c:axId val="114447104"/>
        <c:axId val="0"/>
      </c:bar3DChart>
      <c:catAx>
        <c:axId val="114420736"/>
        <c:scaling>
          <c:orientation val="minMax"/>
        </c:scaling>
        <c:delete val="0"/>
        <c:axPos val="l"/>
        <c:majorTickMark val="none"/>
        <c:minorTickMark val="none"/>
        <c:tickLblPos val="nextTo"/>
        <c:crossAx val="114447104"/>
        <c:crosses val="autoZero"/>
        <c:auto val="1"/>
        <c:lblAlgn val="ctr"/>
        <c:lblOffset val="100"/>
        <c:noMultiLvlLbl val="0"/>
      </c:catAx>
      <c:valAx>
        <c:axId val="114447104"/>
        <c:scaling>
          <c:orientation val="minMax"/>
        </c:scaling>
        <c:delete val="1"/>
        <c:axPos val="b"/>
        <c:numFmt formatCode="_-[$RD$-1C0A]* #,##0.00_-;\-[$RD$-1C0A]* #,##0.00_-;_-[$RD$-1C0A]* &quot;-&quot;??_-;_-@_-" sourceLinked="1"/>
        <c:majorTickMark val="out"/>
        <c:minorTickMark val="none"/>
        <c:tickLblPos val="nextTo"/>
        <c:crossAx val="1144207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cat>
            <c:strRef>
              <c:f>(Junio!$B$15:$B$24,Junio!$B$28:$B$34,Junio!$B$38:$B$41,Junio!$B$45:$B$47,Junio!$B$51:$B$59,Junio!$G$54:$G$59,Junio!$G$45:$G$50,Junio!$G$37:$G$41,Junio!$G$31:$G$33,Junio!$G$21:$G$27,Junio!$B$7:$B$11)</c:f>
              <c:strCache>
                <c:ptCount val="65"/>
                <c:pt idx="0">
                  <c:v>Alquiler</c:v>
                </c:pt>
                <c:pt idx="1">
                  <c:v>Suministros</c:v>
                </c:pt>
                <c:pt idx="2">
                  <c:v>Otros gastos</c:v>
                </c:pt>
                <c:pt idx="3">
                  <c:v>Agua</c:v>
                </c:pt>
                <c:pt idx="4">
                  <c:v>Recogida de Basura</c:v>
                </c:pt>
                <c:pt idx="5">
                  <c:v>Mantenimiento o reparaciones</c:v>
                </c:pt>
                <c:pt idx="6">
                  <c:v>Gas</c:v>
                </c:pt>
                <c:pt idx="7">
                  <c:v>Cable</c:v>
                </c:pt>
                <c:pt idx="8">
                  <c:v>Telefono</c:v>
                </c:pt>
                <c:pt idx="9">
                  <c:v>Electricidad</c:v>
                </c:pt>
                <c:pt idx="10">
                  <c:v>Prestamo vehicular 1</c:v>
                </c:pt>
                <c:pt idx="11">
                  <c:v>Prestamo vehicular 2</c:v>
                </c:pt>
                <c:pt idx="12">
                  <c:v>Bus/Taxi/ Metro</c:v>
                </c:pt>
                <c:pt idx="13">
                  <c:v>Combustible</c:v>
                </c:pt>
                <c:pt idx="14">
                  <c:v>Seguro</c:v>
                </c:pt>
                <c:pt idx="15">
                  <c:v>Mantenimiento</c:v>
                </c:pt>
                <c:pt idx="16">
                  <c:v>Otros gastos</c:v>
                </c:pt>
                <c:pt idx="17">
                  <c:v>hogar</c:v>
                </c:pt>
                <c:pt idx="18">
                  <c:v>salud</c:v>
                </c:pt>
                <c:pt idx="19">
                  <c:v>vida</c:v>
                </c:pt>
                <c:pt idx="20">
                  <c:v>otro</c:v>
                </c:pt>
                <c:pt idx="21">
                  <c:v>supermercado</c:v>
                </c:pt>
                <c:pt idx="22">
                  <c:v>restaurantes</c:v>
                </c:pt>
                <c:pt idx="23">
                  <c:v>otros gastos</c:v>
                </c:pt>
                <c:pt idx="24">
                  <c:v>Gastos medicos</c:v>
                </c:pt>
                <c:pt idx="25">
                  <c:v>Vestimenta</c:v>
                </c:pt>
                <c:pt idx="26">
                  <c:v>Pago Escolar</c:v>
                </c:pt>
                <c:pt idx="27">
                  <c:v>Materiales Escolares</c:v>
                </c:pt>
                <c:pt idx="28">
                  <c:v>Organization dues or fees</c:v>
                </c:pt>
                <c:pt idx="29">
                  <c:v>Merienda o almuerzo</c:v>
                </c:pt>
                <c:pt idx="30">
                  <c:v>Cuidado de niño</c:v>
                </c:pt>
                <c:pt idx="31">
                  <c:v>Juegos/ Juguetes</c:v>
                </c:pt>
                <c:pt idx="32">
                  <c:v>Otros</c:v>
                </c:pt>
                <c:pt idx="33">
                  <c:v>Personal</c:v>
                </c:pt>
                <c:pt idx="34">
                  <c:v>Estudiantil</c:v>
                </c:pt>
                <c:pt idx="35">
                  <c:v>Tarjeta Credito 1</c:v>
                </c:pt>
                <c:pt idx="36">
                  <c:v>Tarjeta Credito 2</c:v>
                </c:pt>
                <c:pt idx="37">
                  <c:v>Tarjeta Credito 3</c:v>
                </c:pt>
                <c:pt idx="38">
                  <c:v>Otros</c:v>
                </c:pt>
                <c:pt idx="39">
                  <c:v>Medicos</c:v>
                </c:pt>
                <c:pt idx="40">
                  <c:v>Peluqueria/Salon</c:v>
                </c:pt>
                <c:pt idx="41">
                  <c:v>Vestimenta</c:v>
                </c:pt>
                <c:pt idx="42">
                  <c:v>Lavanderia</c:v>
                </c:pt>
                <c:pt idx="43">
                  <c:v>Gimnasio</c:v>
                </c:pt>
                <c:pt idx="44">
                  <c:v>Otros</c:v>
                </c:pt>
                <c:pt idx="45">
                  <c:v>alimento</c:v>
                </c:pt>
                <c:pt idx="46">
                  <c:v>gastos medicos</c:v>
                </c:pt>
                <c:pt idx="47">
                  <c:v>peluqueria</c:v>
                </c:pt>
                <c:pt idx="48">
                  <c:v>juguetes</c:v>
                </c:pt>
                <c:pt idx="49">
                  <c:v>otros gastos</c:v>
                </c:pt>
                <c:pt idx="50">
                  <c:v>fundacion 1</c:v>
                </c:pt>
                <c:pt idx="51">
                  <c:v>fundacion 2</c:v>
                </c:pt>
                <c:pt idx="52">
                  <c:v>fundacion 3</c:v>
                </c:pt>
                <c:pt idx="53">
                  <c:v> Alquiler Video/DVD</c:v>
                </c:pt>
                <c:pt idx="54">
                  <c:v>Eventos sociales</c:v>
                </c:pt>
                <c:pt idx="55">
                  <c:v>Cine</c:v>
                </c:pt>
                <c:pt idx="56">
                  <c:v>Conciertos</c:v>
                </c:pt>
                <c:pt idx="57">
                  <c:v>Eventos deportivos</c:v>
                </c:pt>
                <c:pt idx="58">
                  <c:v>Teatro</c:v>
                </c:pt>
                <c:pt idx="59">
                  <c:v>Otros</c:v>
                </c:pt>
                <c:pt idx="60">
                  <c:v>Plan de Retiro</c:v>
                </c:pt>
                <c:pt idx="61">
                  <c:v>Cuenta de Inversion</c:v>
                </c:pt>
                <c:pt idx="62">
                  <c:v>Universidad de los hijos</c:v>
                </c:pt>
                <c:pt idx="63">
                  <c:v>Fondo de Emergencia</c:v>
                </c:pt>
                <c:pt idx="64">
                  <c:v>Otros ahorros</c:v>
                </c:pt>
              </c:strCache>
            </c:strRef>
          </c:cat>
          <c:val>
            <c:numRef>
              <c:f>(Junio!$C$15:$C$24,Junio!$C$28:$C$34,Junio!$C$38:$C$41,Junio!$C$45:$C$47,Junio!$C$51:$C$59,Junio!$H$63:$H$65,Junio!$H$54:$H$59,Junio!$H$45:$H$50,Junio!$H$37:$H$41,Junio!$H$31:$H$33,Junio!$H$21:$H$27,Junio!$C$7:$C$11)</c:f>
              <c:numCache>
                <c:formatCode>_-[$RD$-1C0A]* #,##0.00_-;\-[$RD$-1C0A]* #,##0.00_-;_-[$RD$-1C0A]* "-"??_-;_-@_-</c:formatCode>
                <c:ptCount val="68"/>
                <c:pt idx="0">
                  <c:v>16000</c:v>
                </c:pt>
                <c:pt idx="1">
                  <c:v>0</c:v>
                </c:pt>
                <c:pt idx="2">
                  <c:v>0</c:v>
                </c:pt>
                <c:pt idx="3">
                  <c:v>200</c:v>
                </c:pt>
                <c:pt idx="4">
                  <c:v>100</c:v>
                </c:pt>
                <c:pt idx="5">
                  <c:v>0</c:v>
                </c:pt>
                <c:pt idx="6">
                  <c:v>1000</c:v>
                </c:pt>
                <c:pt idx="7">
                  <c:v>450</c:v>
                </c:pt>
                <c:pt idx="8">
                  <c:v>1800</c:v>
                </c:pt>
                <c:pt idx="9">
                  <c:v>500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500</c:v>
                </c:pt>
                <c:pt idx="19">
                  <c:v>0</c:v>
                </c:pt>
                <c:pt idx="20">
                  <c:v>0</c:v>
                </c:pt>
                <c:pt idx="21">
                  <c:v>2000</c:v>
                </c:pt>
                <c:pt idx="22">
                  <c:v>4000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44">
                  <c:v>1000</c:v>
                </c:pt>
                <c:pt idx="56">
                  <c:v>0</c:v>
                </c:pt>
                <c:pt idx="57">
                  <c:v>5000</c:v>
                </c:pt>
                <c:pt idx="58">
                  <c:v>700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3">
                  <c:v>5000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accent1">
        <a:lumMod val="60000"/>
        <a:lumOff val="40000"/>
      </a:schemeClr>
    </a:solidFill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>
                <a:effectLst/>
              </a:rPr>
              <a:t>Gastos por Categoria</a:t>
            </a:r>
            <a:endParaRPr lang="es-DO">
              <a:effectLst/>
            </a:endParaRP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invertIfNegative val="0"/>
          <c:cat>
            <c:strRef>
              <c:f>(Junio!$B$6,Junio!$B$14,Junio!$B$27,Junio!$B$37,Junio!$B$44,Junio!$B$50,Junio!$G$62,Junio!$G$53,Junio!$G$44,Junio!$G$36,Junio!$G$30,Junio!$G$20)</c:f>
              <c:strCache>
                <c:ptCount val="12"/>
                <c:pt idx="0">
                  <c:v>Ahorro/ Inversiones</c:v>
                </c:pt>
                <c:pt idx="1">
                  <c:v>Vivienda</c:v>
                </c:pt>
                <c:pt idx="2">
                  <c:v>Transporte</c:v>
                </c:pt>
                <c:pt idx="3">
                  <c:v>Seguros</c:v>
                </c:pt>
                <c:pt idx="4">
                  <c:v>Comida</c:v>
                </c:pt>
                <c:pt idx="5">
                  <c:v>Niños</c:v>
                </c:pt>
                <c:pt idx="6">
                  <c:v>Gastos Legales</c:v>
                </c:pt>
                <c:pt idx="7">
                  <c:v>Gastos Financieros/ Prestamos</c:v>
                </c:pt>
                <c:pt idx="8">
                  <c:v>Cuidado Personal</c:v>
                </c:pt>
                <c:pt idx="9">
                  <c:v>Mascotas</c:v>
                </c:pt>
                <c:pt idx="10">
                  <c:v>Regalos y Donaciones</c:v>
                </c:pt>
                <c:pt idx="11">
                  <c:v>Entretenimiento</c:v>
                </c:pt>
              </c:strCache>
            </c:strRef>
          </c:cat>
          <c:val>
            <c:numRef>
              <c:f>(Junio!$D$12,Junio!$D$25,Junio!$D$35,Junio!$D$42,Junio!$D$48,Junio!$D$60,Junio!$I$66,Junio!$I$60,Junio!$I$51,Junio!$I$42,Junio!$I$34,Junio!$I$28)</c:f>
              <c:numCache>
                <c:formatCode>_-[$RD$-1C0A]* #,##0.00_-;\-[$RD$-1C0A]* #,##0.00_-;_-[$RD$-1C0A]* "-"??_-;_-@_-</c:formatCode>
                <c:ptCount val="12"/>
                <c:pt idx="0">
                  <c:v>5000</c:v>
                </c:pt>
                <c:pt idx="1">
                  <c:v>19244</c:v>
                </c:pt>
                <c:pt idx="2">
                  <c:v>4000</c:v>
                </c:pt>
                <c:pt idx="3">
                  <c:v>500</c:v>
                </c:pt>
                <c:pt idx="4">
                  <c:v>5500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</c:v>
                </c:pt>
                <c:pt idx="9">
                  <c:v>0</c:v>
                </c:pt>
                <c:pt idx="10">
                  <c:v>0</c:v>
                </c:pt>
                <c:pt idx="11" formatCode="&quot;$&quot;#,##0_);[Red]\(&quot;$&quot;#,##0\)">
                  <c:v>5000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22041472"/>
        <c:axId val="122043008"/>
        <c:axId val="0"/>
      </c:bar3DChart>
      <c:catAx>
        <c:axId val="122041472"/>
        <c:scaling>
          <c:orientation val="minMax"/>
        </c:scaling>
        <c:delete val="0"/>
        <c:axPos val="l"/>
        <c:majorTickMark val="none"/>
        <c:minorTickMark val="none"/>
        <c:tickLblPos val="nextTo"/>
        <c:crossAx val="122043008"/>
        <c:crosses val="autoZero"/>
        <c:auto val="1"/>
        <c:lblAlgn val="ctr"/>
        <c:lblOffset val="100"/>
        <c:noMultiLvlLbl val="0"/>
      </c:catAx>
      <c:valAx>
        <c:axId val="122043008"/>
        <c:scaling>
          <c:orientation val="minMax"/>
        </c:scaling>
        <c:delete val="1"/>
        <c:axPos val="b"/>
        <c:numFmt formatCode="_-[$RD$-1C0A]* #,##0.00_-;\-[$RD$-1C0A]* #,##0.00_-;_-[$RD$-1C0A]* &quot;-&quot;??_-;_-@_-" sourceLinked="1"/>
        <c:majorTickMark val="out"/>
        <c:minorTickMark val="none"/>
        <c:tickLblPos val="nextTo"/>
        <c:crossAx val="1220414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cat>
            <c:strRef>
              <c:f>(Julio!$B$15:$B$24,Julio!$B$28:$B$34,Julio!$B$38:$B$41,Julio!$B$45:$B$47,Julio!$B$51:$B$59,Julio!$G$54:$G$59,Julio!$G$45:$G$50,Julio!$G$37:$G$41,Julio!$G$31:$G$33,Julio!$G$21:$G$27,Julio!$B$7:$B$11)</c:f>
              <c:strCache>
                <c:ptCount val="65"/>
                <c:pt idx="0">
                  <c:v>Alquiler</c:v>
                </c:pt>
                <c:pt idx="1">
                  <c:v>Suministros</c:v>
                </c:pt>
                <c:pt idx="2">
                  <c:v>Otros gastos</c:v>
                </c:pt>
                <c:pt idx="3">
                  <c:v>Agua</c:v>
                </c:pt>
                <c:pt idx="4">
                  <c:v>Recogida de Basura</c:v>
                </c:pt>
                <c:pt idx="5">
                  <c:v>Mantenimiento o reparaciones</c:v>
                </c:pt>
                <c:pt idx="6">
                  <c:v>Gas</c:v>
                </c:pt>
                <c:pt idx="7">
                  <c:v>Cable</c:v>
                </c:pt>
                <c:pt idx="8">
                  <c:v>Telefono</c:v>
                </c:pt>
                <c:pt idx="9">
                  <c:v>Electricidad</c:v>
                </c:pt>
                <c:pt idx="10">
                  <c:v>Prestamo vehicular 1</c:v>
                </c:pt>
                <c:pt idx="11">
                  <c:v>Prestamo vehicular 2</c:v>
                </c:pt>
                <c:pt idx="12">
                  <c:v>Bus/Taxi/ Metro</c:v>
                </c:pt>
                <c:pt idx="13">
                  <c:v>Combustible</c:v>
                </c:pt>
                <c:pt idx="14">
                  <c:v>Seguro</c:v>
                </c:pt>
                <c:pt idx="15">
                  <c:v>Mantenimiento</c:v>
                </c:pt>
                <c:pt idx="16">
                  <c:v>Otros gastos</c:v>
                </c:pt>
                <c:pt idx="17">
                  <c:v>hogar</c:v>
                </c:pt>
                <c:pt idx="18">
                  <c:v>salud</c:v>
                </c:pt>
                <c:pt idx="19">
                  <c:v>vida</c:v>
                </c:pt>
                <c:pt idx="20">
                  <c:v>otro</c:v>
                </c:pt>
                <c:pt idx="21">
                  <c:v>supermercado</c:v>
                </c:pt>
                <c:pt idx="22">
                  <c:v>restaurantes</c:v>
                </c:pt>
                <c:pt idx="23">
                  <c:v>otros gastos</c:v>
                </c:pt>
                <c:pt idx="24">
                  <c:v>Gastos medicos</c:v>
                </c:pt>
                <c:pt idx="25">
                  <c:v>Vestimenta</c:v>
                </c:pt>
                <c:pt idx="26">
                  <c:v>Pago Escolar</c:v>
                </c:pt>
                <c:pt idx="27">
                  <c:v>Materiales Escolares</c:v>
                </c:pt>
                <c:pt idx="28">
                  <c:v>Organization dues or fees</c:v>
                </c:pt>
                <c:pt idx="29">
                  <c:v>Merienda o almuerzo</c:v>
                </c:pt>
                <c:pt idx="30">
                  <c:v>Cuidado de niño</c:v>
                </c:pt>
                <c:pt idx="31">
                  <c:v>Juegos/ Juguetes</c:v>
                </c:pt>
                <c:pt idx="32">
                  <c:v>Otros</c:v>
                </c:pt>
                <c:pt idx="33">
                  <c:v>Personal</c:v>
                </c:pt>
                <c:pt idx="34">
                  <c:v>Estudiantil</c:v>
                </c:pt>
                <c:pt idx="35">
                  <c:v>Tarjeta Credito 1</c:v>
                </c:pt>
                <c:pt idx="36">
                  <c:v>Tarjeta Credito 2</c:v>
                </c:pt>
                <c:pt idx="37">
                  <c:v>Tarjeta Credito 3</c:v>
                </c:pt>
                <c:pt idx="38">
                  <c:v>Otros</c:v>
                </c:pt>
                <c:pt idx="39">
                  <c:v>Medicos</c:v>
                </c:pt>
                <c:pt idx="40">
                  <c:v>Peluqueria/Salon</c:v>
                </c:pt>
                <c:pt idx="41">
                  <c:v>Vestimenta</c:v>
                </c:pt>
                <c:pt idx="42">
                  <c:v>Lavanderia</c:v>
                </c:pt>
                <c:pt idx="43">
                  <c:v>Gimnasio</c:v>
                </c:pt>
                <c:pt idx="44">
                  <c:v>Otros</c:v>
                </c:pt>
                <c:pt idx="45">
                  <c:v>alimento</c:v>
                </c:pt>
                <c:pt idx="46">
                  <c:v>gastos medicos</c:v>
                </c:pt>
                <c:pt idx="47">
                  <c:v>peluqueria</c:v>
                </c:pt>
                <c:pt idx="48">
                  <c:v>juguetes</c:v>
                </c:pt>
                <c:pt idx="49">
                  <c:v>otros gastos</c:v>
                </c:pt>
                <c:pt idx="50">
                  <c:v>fundacion 1</c:v>
                </c:pt>
                <c:pt idx="51">
                  <c:v>fundacion 2</c:v>
                </c:pt>
                <c:pt idx="52">
                  <c:v>fundacion 3</c:v>
                </c:pt>
                <c:pt idx="53">
                  <c:v> Alquiler Video/DVD</c:v>
                </c:pt>
                <c:pt idx="54">
                  <c:v>Eventos sociales</c:v>
                </c:pt>
                <c:pt idx="55">
                  <c:v>Cine</c:v>
                </c:pt>
                <c:pt idx="56">
                  <c:v>Conciertos</c:v>
                </c:pt>
                <c:pt idx="57">
                  <c:v>Eventos deportivos</c:v>
                </c:pt>
                <c:pt idx="58">
                  <c:v>Teatro</c:v>
                </c:pt>
                <c:pt idx="59">
                  <c:v>Otros</c:v>
                </c:pt>
                <c:pt idx="60">
                  <c:v>Plan de Retiro</c:v>
                </c:pt>
                <c:pt idx="61">
                  <c:v>Cuenta de Inversion</c:v>
                </c:pt>
                <c:pt idx="62">
                  <c:v>Universidad de los hijos</c:v>
                </c:pt>
                <c:pt idx="63">
                  <c:v>Fondo de Emergencia</c:v>
                </c:pt>
                <c:pt idx="64">
                  <c:v>Otros ahorros</c:v>
                </c:pt>
              </c:strCache>
            </c:strRef>
          </c:cat>
          <c:val>
            <c:numRef>
              <c:f>(Julio!$C$15:$C$24,Julio!$C$28:$C$34,Julio!$C$38:$C$41,Julio!$C$45:$C$47,Julio!$C$51:$C$59,Julio!$H$63:$H$65,Julio!$H$54:$H$59,Julio!$H$45:$H$50,Julio!$H$37:$H$41,Julio!$H$31:$H$33,Julio!$H$21:$H$27,Julio!$C$7:$C$11)</c:f>
              <c:numCache>
                <c:formatCode>_-[$RD$-1C0A]* #,##0.00_-;\-[$RD$-1C0A]* #,##0.00_-;_-[$RD$-1C0A]* "-"??_-;_-@_-</c:formatCode>
                <c:ptCount val="68"/>
                <c:pt idx="0">
                  <c:v>16000</c:v>
                </c:pt>
                <c:pt idx="1">
                  <c:v>0</c:v>
                </c:pt>
                <c:pt idx="2">
                  <c:v>0</c:v>
                </c:pt>
                <c:pt idx="3">
                  <c:v>200</c:v>
                </c:pt>
                <c:pt idx="4">
                  <c:v>100</c:v>
                </c:pt>
                <c:pt idx="5">
                  <c:v>0</c:v>
                </c:pt>
                <c:pt idx="6">
                  <c:v>1000</c:v>
                </c:pt>
                <c:pt idx="7">
                  <c:v>450</c:v>
                </c:pt>
                <c:pt idx="8">
                  <c:v>1800</c:v>
                </c:pt>
                <c:pt idx="9">
                  <c:v>500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500</c:v>
                </c:pt>
                <c:pt idx="19">
                  <c:v>0</c:v>
                </c:pt>
                <c:pt idx="20">
                  <c:v>0</c:v>
                </c:pt>
                <c:pt idx="21">
                  <c:v>2000</c:v>
                </c:pt>
                <c:pt idx="22">
                  <c:v>4000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44">
                  <c:v>1000</c:v>
                </c:pt>
                <c:pt idx="56">
                  <c:v>0</c:v>
                </c:pt>
                <c:pt idx="57">
                  <c:v>5000</c:v>
                </c:pt>
                <c:pt idx="58">
                  <c:v>700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3">
                  <c:v>5000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accent1">
        <a:lumMod val="60000"/>
        <a:lumOff val="40000"/>
      </a:schemeClr>
    </a:solidFill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>
                <a:effectLst/>
              </a:rPr>
              <a:t>Gastos por Categoria</a:t>
            </a:r>
            <a:endParaRPr lang="es-DO">
              <a:effectLst/>
            </a:endParaRP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invertIfNegative val="0"/>
          <c:cat>
            <c:strRef>
              <c:f>(Julio!$B$6,Julio!$B$14,Julio!$B$27,Julio!$B$37,Julio!$B$44,Julio!$B$50,Julio!$G$62,Julio!$G$53,Julio!$G$44,Julio!$G$36,Julio!$G$30,Julio!$G$20)</c:f>
              <c:strCache>
                <c:ptCount val="12"/>
                <c:pt idx="0">
                  <c:v>Ahorro/ Inversiones</c:v>
                </c:pt>
                <c:pt idx="1">
                  <c:v>Vivienda</c:v>
                </c:pt>
                <c:pt idx="2">
                  <c:v>Transporte</c:v>
                </c:pt>
                <c:pt idx="3">
                  <c:v>Seguros</c:v>
                </c:pt>
                <c:pt idx="4">
                  <c:v>Comida</c:v>
                </c:pt>
                <c:pt idx="5">
                  <c:v>Niños</c:v>
                </c:pt>
                <c:pt idx="6">
                  <c:v>Gastos Legales</c:v>
                </c:pt>
                <c:pt idx="7">
                  <c:v>Gastos Financieros/ Prestamos</c:v>
                </c:pt>
                <c:pt idx="8">
                  <c:v>Cuidado Personal</c:v>
                </c:pt>
                <c:pt idx="9">
                  <c:v>Mascotas</c:v>
                </c:pt>
                <c:pt idx="10">
                  <c:v>Regalos y Donaciones</c:v>
                </c:pt>
                <c:pt idx="11">
                  <c:v>Entretenimiento</c:v>
                </c:pt>
              </c:strCache>
            </c:strRef>
          </c:cat>
          <c:val>
            <c:numRef>
              <c:f>(Julio!$D$12,Julio!$D$25,Julio!$D$35,Julio!$D$42,Julio!$D$48,Julio!$D$60,Julio!$I$66,Julio!$I$60,Julio!$I$51,Julio!$I$42,Julio!$I$34,Julio!$I$28)</c:f>
              <c:numCache>
                <c:formatCode>_-[$RD$-1C0A]* #,##0.00_-;\-[$RD$-1C0A]* #,##0.00_-;_-[$RD$-1C0A]* "-"??_-;_-@_-</c:formatCode>
                <c:ptCount val="12"/>
                <c:pt idx="0">
                  <c:v>5000</c:v>
                </c:pt>
                <c:pt idx="1">
                  <c:v>19244</c:v>
                </c:pt>
                <c:pt idx="2">
                  <c:v>4000</c:v>
                </c:pt>
                <c:pt idx="3">
                  <c:v>500</c:v>
                </c:pt>
                <c:pt idx="4">
                  <c:v>5500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</c:v>
                </c:pt>
                <c:pt idx="9">
                  <c:v>0</c:v>
                </c:pt>
                <c:pt idx="10">
                  <c:v>0</c:v>
                </c:pt>
                <c:pt idx="11" formatCode="&quot;$&quot;#,##0_);[Red]\(&quot;$&quot;#,##0\)">
                  <c:v>5000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206175232"/>
        <c:axId val="206209792"/>
        <c:axId val="0"/>
      </c:bar3DChart>
      <c:catAx>
        <c:axId val="206175232"/>
        <c:scaling>
          <c:orientation val="minMax"/>
        </c:scaling>
        <c:delete val="0"/>
        <c:axPos val="l"/>
        <c:majorTickMark val="none"/>
        <c:minorTickMark val="none"/>
        <c:tickLblPos val="nextTo"/>
        <c:crossAx val="206209792"/>
        <c:crosses val="autoZero"/>
        <c:auto val="1"/>
        <c:lblAlgn val="ctr"/>
        <c:lblOffset val="100"/>
        <c:noMultiLvlLbl val="0"/>
      </c:catAx>
      <c:valAx>
        <c:axId val="206209792"/>
        <c:scaling>
          <c:orientation val="minMax"/>
        </c:scaling>
        <c:delete val="1"/>
        <c:axPos val="b"/>
        <c:numFmt formatCode="_-[$RD$-1C0A]* #,##0.00_-;\-[$RD$-1C0A]* #,##0.00_-;_-[$RD$-1C0A]* &quot;-&quot;??_-;_-@_-" sourceLinked="1"/>
        <c:majorTickMark val="out"/>
        <c:minorTickMark val="none"/>
        <c:tickLblPos val="nextTo"/>
        <c:crossAx val="2061752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cat>
            <c:strRef>
              <c:f>(Agosto!$B$15:$B$24,Agosto!$B$28:$B$34,Agosto!$B$38:$B$41,Agosto!$B$45:$B$47,Agosto!$B$51:$B$59,Agosto!$G$54:$G$59,Agosto!$G$45:$G$50,Agosto!$G$37:$G$41,Agosto!$G$31:$G$33,Agosto!$G$21:$G$27,Agosto!$B$7:$B$11)</c:f>
              <c:strCache>
                <c:ptCount val="65"/>
                <c:pt idx="0">
                  <c:v>Alquiler</c:v>
                </c:pt>
                <c:pt idx="1">
                  <c:v>Suministros</c:v>
                </c:pt>
                <c:pt idx="2">
                  <c:v>Otros gastos</c:v>
                </c:pt>
                <c:pt idx="3">
                  <c:v>Agua</c:v>
                </c:pt>
                <c:pt idx="4">
                  <c:v>Recogida de Basura</c:v>
                </c:pt>
                <c:pt idx="5">
                  <c:v>Mantenimiento o reparaciones</c:v>
                </c:pt>
                <c:pt idx="6">
                  <c:v>Gas</c:v>
                </c:pt>
                <c:pt idx="7">
                  <c:v>Cable</c:v>
                </c:pt>
                <c:pt idx="8">
                  <c:v>Telefono</c:v>
                </c:pt>
                <c:pt idx="9">
                  <c:v>Electricidad</c:v>
                </c:pt>
                <c:pt idx="10">
                  <c:v>Prestamo vehicular 1</c:v>
                </c:pt>
                <c:pt idx="11">
                  <c:v>Prestamo vehicular 2</c:v>
                </c:pt>
                <c:pt idx="12">
                  <c:v>Bus/Taxi/ Metro</c:v>
                </c:pt>
                <c:pt idx="13">
                  <c:v>Combustible</c:v>
                </c:pt>
                <c:pt idx="14">
                  <c:v>Seguro</c:v>
                </c:pt>
                <c:pt idx="15">
                  <c:v>Mantenimiento</c:v>
                </c:pt>
                <c:pt idx="16">
                  <c:v>Otros gastos</c:v>
                </c:pt>
                <c:pt idx="17">
                  <c:v>hogar</c:v>
                </c:pt>
                <c:pt idx="18">
                  <c:v>salud</c:v>
                </c:pt>
                <c:pt idx="19">
                  <c:v>vida</c:v>
                </c:pt>
                <c:pt idx="20">
                  <c:v>otro</c:v>
                </c:pt>
                <c:pt idx="21">
                  <c:v>supermercado</c:v>
                </c:pt>
                <c:pt idx="22">
                  <c:v>restaurantes</c:v>
                </c:pt>
                <c:pt idx="23">
                  <c:v>otros gastos</c:v>
                </c:pt>
                <c:pt idx="24">
                  <c:v>Gastos medicos</c:v>
                </c:pt>
                <c:pt idx="25">
                  <c:v>Vestimenta</c:v>
                </c:pt>
                <c:pt idx="26">
                  <c:v>Pago Escolar</c:v>
                </c:pt>
                <c:pt idx="27">
                  <c:v>Materiales Escolares</c:v>
                </c:pt>
                <c:pt idx="28">
                  <c:v>Organization dues or fees</c:v>
                </c:pt>
                <c:pt idx="29">
                  <c:v>Merienda o almuerzo</c:v>
                </c:pt>
                <c:pt idx="30">
                  <c:v>Cuidado de niño</c:v>
                </c:pt>
                <c:pt idx="31">
                  <c:v>Juegos/ Juguetes</c:v>
                </c:pt>
                <c:pt idx="32">
                  <c:v>Otros</c:v>
                </c:pt>
                <c:pt idx="33">
                  <c:v>Personal</c:v>
                </c:pt>
                <c:pt idx="34">
                  <c:v>Estudiantil</c:v>
                </c:pt>
                <c:pt idx="35">
                  <c:v>Tarjeta Credito 1</c:v>
                </c:pt>
                <c:pt idx="36">
                  <c:v>Tarjeta Credito 2</c:v>
                </c:pt>
                <c:pt idx="37">
                  <c:v>Tarjeta Credito 3</c:v>
                </c:pt>
                <c:pt idx="38">
                  <c:v>Otros</c:v>
                </c:pt>
                <c:pt idx="39">
                  <c:v>Medicos</c:v>
                </c:pt>
                <c:pt idx="40">
                  <c:v>Peluqueria/Salon</c:v>
                </c:pt>
                <c:pt idx="41">
                  <c:v>Vestimenta</c:v>
                </c:pt>
                <c:pt idx="42">
                  <c:v>Lavanderia</c:v>
                </c:pt>
                <c:pt idx="43">
                  <c:v>Gimnasio</c:v>
                </c:pt>
                <c:pt idx="44">
                  <c:v>Otros</c:v>
                </c:pt>
                <c:pt idx="45">
                  <c:v>alimento</c:v>
                </c:pt>
                <c:pt idx="46">
                  <c:v>gastos medicos</c:v>
                </c:pt>
                <c:pt idx="47">
                  <c:v>peluqueria</c:v>
                </c:pt>
                <c:pt idx="48">
                  <c:v>juguetes</c:v>
                </c:pt>
                <c:pt idx="49">
                  <c:v>otros gastos</c:v>
                </c:pt>
                <c:pt idx="50">
                  <c:v>fundacion 1</c:v>
                </c:pt>
                <c:pt idx="51">
                  <c:v>fundacion 2</c:v>
                </c:pt>
                <c:pt idx="52">
                  <c:v>fundacion 3</c:v>
                </c:pt>
                <c:pt idx="53">
                  <c:v> Alquiler Video/DVD</c:v>
                </c:pt>
                <c:pt idx="54">
                  <c:v>Eventos sociales</c:v>
                </c:pt>
                <c:pt idx="55">
                  <c:v>Cine</c:v>
                </c:pt>
                <c:pt idx="56">
                  <c:v>Conciertos</c:v>
                </c:pt>
                <c:pt idx="57">
                  <c:v>Eventos deportivos</c:v>
                </c:pt>
                <c:pt idx="58">
                  <c:v>Teatro</c:v>
                </c:pt>
                <c:pt idx="59">
                  <c:v>Otros</c:v>
                </c:pt>
                <c:pt idx="60">
                  <c:v>Plan de Retiro</c:v>
                </c:pt>
                <c:pt idx="61">
                  <c:v>Cuenta de Inversion</c:v>
                </c:pt>
                <c:pt idx="62">
                  <c:v>Universidad de los hijos</c:v>
                </c:pt>
                <c:pt idx="63">
                  <c:v>Fondo de Emergencia</c:v>
                </c:pt>
                <c:pt idx="64">
                  <c:v>Otros ahorros</c:v>
                </c:pt>
              </c:strCache>
            </c:strRef>
          </c:cat>
          <c:val>
            <c:numRef>
              <c:f>(Agosto!$C$15:$C$24,Agosto!$C$28:$C$34,Agosto!$C$38:$C$41,Agosto!$C$45:$C$47,Agosto!$C$51:$C$59,Agosto!$H$63:$H$65,Agosto!$H$54:$H$59,Agosto!$H$45:$H$50,Agosto!$H$37:$H$41,Agosto!$H$31:$H$33,Agosto!$H$21:$H$27,Agosto!$C$7:$C$11)</c:f>
              <c:numCache>
                <c:formatCode>_-[$RD$-1C0A]* #,##0.00_-;\-[$RD$-1C0A]* #,##0.00_-;_-[$RD$-1C0A]* "-"??_-;_-@_-</c:formatCode>
                <c:ptCount val="68"/>
                <c:pt idx="0">
                  <c:v>16000</c:v>
                </c:pt>
                <c:pt idx="1">
                  <c:v>0</c:v>
                </c:pt>
                <c:pt idx="2">
                  <c:v>0</c:v>
                </c:pt>
                <c:pt idx="3">
                  <c:v>200</c:v>
                </c:pt>
                <c:pt idx="4">
                  <c:v>100</c:v>
                </c:pt>
                <c:pt idx="5">
                  <c:v>0</c:v>
                </c:pt>
                <c:pt idx="6">
                  <c:v>1000</c:v>
                </c:pt>
                <c:pt idx="7">
                  <c:v>450</c:v>
                </c:pt>
                <c:pt idx="8">
                  <c:v>1800</c:v>
                </c:pt>
                <c:pt idx="9">
                  <c:v>500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500</c:v>
                </c:pt>
                <c:pt idx="19">
                  <c:v>0</c:v>
                </c:pt>
                <c:pt idx="20">
                  <c:v>0</c:v>
                </c:pt>
                <c:pt idx="21">
                  <c:v>2000</c:v>
                </c:pt>
                <c:pt idx="22">
                  <c:v>4000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44">
                  <c:v>1000</c:v>
                </c:pt>
                <c:pt idx="56">
                  <c:v>0</c:v>
                </c:pt>
                <c:pt idx="57">
                  <c:v>5000</c:v>
                </c:pt>
                <c:pt idx="58">
                  <c:v>700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3">
                  <c:v>5000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accent1">
        <a:lumMod val="60000"/>
        <a:lumOff val="40000"/>
      </a:schemeClr>
    </a:solidFill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>
                <a:effectLst/>
              </a:rPr>
              <a:t>Gastos por Categoria</a:t>
            </a:r>
            <a:endParaRPr lang="es-DO">
              <a:effectLst/>
            </a:endParaRP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invertIfNegative val="0"/>
          <c:cat>
            <c:strRef>
              <c:f>(Agosto!$B$6,Agosto!$B$14,Agosto!$B$27,Agosto!$B$37,Agosto!$B$44,Agosto!$B$50,Agosto!$G$62,Agosto!$G$53,Agosto!$G$44,Agosto!$G$36,Agosto!$G$30,Agosto!$G$20)</c:f>
              <c:strCache>
                <c:ptCount val="12"/>
                <c:pt idx="0">
                  <c:v>Ahorro/ Inversiones</c:v>
                </c:pt>
                <c:pt idx="1">
                  <c:v>Vivienda</c:v>
                </c:pt>
                <c:pt idx="2">
                  <c:v>Transporte</c:v>
                </c:pt>
                <c:pt idx="3">
                  <c:v>Seguros</c:v>
                </c:pt>
                <c:pt idx="4">
                  <c:v>Comida</c:v>
                </c:pt>
                <c:pt idx="5">
                  <c:v>Niños</c:v>
                </c:pt>
                <c:pt idx="6">
                  <c:v>Gastos Legales</c:v>
                </c:pt>
                <c:pt idx="7">
                  <c:v>Gastos Financieros/ Prestamos</c:v>
                </c:pt>
                <c:pt idx="8">
                  <c:v>Cuidado Personal</c:v>
                </c:pt>
                <c:pt idx="9">
                  <c:v>Mascotas</c:v>
                </c:pt>
                <c:pt idx="10">
                  <c:v>Regalos y Donaciones</c:v>
                </c:pt>
                <c:pt idx="11">
                  <c:v>Entretenimiento</c:v>
                </c:pt>
              </c:strCache>
            </c:strRef>
          </c:cat>
          <c:val>
            <c:numRef>
              <c:f>(Agosto!$D$12,Agosto!$D$25,Agosto!$D$35,Agosto!$D$42,Agosto!$D$48,Agosto!$D$60,Agosto!$I$66,Agosto!$I$60,Agosto!$I$51,Agosto!$I$42,Agosto!$I$34,Agosto!$I$28)</c:f>
              <c:numCache>
                <c:formatCode>_-[$RD$-1C0A]* #,##0.00_-;\-[$RD$-1C0A]* #,##0.00_-;_-[$RD$-1C0A]* "-"??_-;_-@_-</c:formatCode>
                <c:ptCount val="12"/>
                <c:pt idx="0">
                  <c:v>5000</c:v>
                </c:pt>
                <c:pt idx="1">
                  <c:v>19244</c:v>
                </c:pt>
                <c:pt idx="2">
                  <c:v>4000</c:v>
                </c:pt>
                <c:pt idx="3">
                  <c:v>500</c:v>
                </c:pt>
                <c:pt idx="4">
                  <c:v>5500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</c:v>
                </c:pt>
                <c:pt idx="9">
                  <c:v>0</c:v>
                </c:pt>
                <c:pt idx="10">
                  <c:v>0</c:v>
                </c:pt>
                <c:pt idx="11" formatCode="&quot;$&quot;#,##0_);[Red]\(&quot;$&quot;#,##0\)">
                  <c:v>5000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213374080"/>
        <c:axId val="213375616"/>
        <c:axId val="0"/>
      </c:bar3DChart>
      <c:catAx>
        <c:axId val="213374080"/>
        <c:scaling>
          <c:orientation val="minMax"/>
        </c:scaling>
        <c:delete val="0"/>
        <c:axPos val="l"/>
        <c:majorTickMark val="none"/>
        <c:minorTickMark val="none"/>
        <c:tickLblPos val="nextTo"/>
        <c:crossAx val="213375616"/>
        <c:crosses val="autoZero"/>
        <c:auto val="1"/>
        <c:lblAlgn val="ctr"/>
        <c:lblOffset val="100"/>
        <c:noMultiLvlLbl val="0"/>
      </c:catAx>
      <c:valAx>
        <c:axId val="213375616"/>
        <c:scaling>
          <c:orientation val="minMax"/>
        </c:scaling>
        <c:delete val="1"/>
        <c:axPos val="b"/>
        <c:numFmt formatCode="_-[$RD$-1C0A]* #,##0.00_-;\-[$RD$-1C0A]* #,##0.00_-;_-[$RD$-1C0A]* &quot;-&quot;??_-;_-@_-" sourceLinked="1"/>
        <c:majorTickMark val="out"/>
        <c:minorTickMark val="none"/>
        <c:tickLblPos val="nextTo"/>
        <c:crossAx val="2133740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cat>
            <c:strRef>
              <c:f>(Septiembre!$B$15:$B$24,Septiembre!$B$28:$B$34,Septiembre!$B$38:$B$41,Septiembre!$B$45:$B$47,Septiembre!$B$51:$B$59,Septiembre!$G$54:$G$59,Septiembre!$G$45:$G$50,Septiembre!$G$37:$G$41,Septiembre!$G$31:$G$33,Septiembre!$G$21:$G$27,Septiembre!$B$7:$B$11)</c:f>
              <c:strCache>
                <c:ptCount val="65"/>
                <c:pt idx="0">
                  <c:v>Alquiler</c:v>
                </c:pt>
                <c:pt idx="1">
                  <c:v>Suministros</c:v>
                </c:pt>
                <c:pt idx="2">
                  <c:v>Otros gastos</c:v>
                </c:pt>
                <c:pt idx="3">
                  <c:v>Agua</c:v>
                </c:pt>
                <c:pt idx="4">
                  <c:v>Recogida de Basura</c:v>
                </c:pt>
                <c:pt idx="5">
                  <c:v>Mantenimiento o reparaciones</c:v>
                </c:pt>
                <c:pt idx="6">
                  <c:v>Gas</c:v>
                </c:pt>
                <c:pt idx="7">
                  <c:v>Cable</c:v>
                </c:pt>
                <c:pt idx="8">
                  <c:v>Telefono</c:v>
                </c:pt>
                <c:pt idx="9">
                  <c:v>Electricidad</c:v>
                </c:pt>
                <c:pt idx="10">
                  <c:v>Prestamo vehicular 1</c:v>
                </c:pt>
                <c:pt idx="11">
                  <c:v>Prestamo vehicular 2</c:v>
                </c:pt>
                <c:pt idx="12">
                  <c:v>Bus/Taxi/ Metro</c:v>
                </c:pt>
                <c:pt idx="13">
                  <c:v>Combustible</c:v>
                </c:pt>
                <c:pt idx="14">
                  <c:v>Seguro</c:v>
                </c:pt>
                <c:pt idx="15">
                  <c:v>Mantenimiento</c:v>
                </c:pt>
                <c:pt idx="16">
                  <c:v>Otros gastos</c:v>
                </c:pt>
                <c:pt idx="17">
                  <c:v>hogar</c:v>
                </c:pt>
                <c:pt idx="18">
                  <c:v>salud</c:v>
                </c:pt>
                <c:pt idx="19">
                  <c:v>vida</c:v>
                </c:pt>
                <c:pt idx="20">
                  <c:v>otro</c:v>
                </c:pt>
                <c:pt idx="21">
                  <c:v>supermercado</c:v>
                </c:pt>
                <c:pt idx="22">
                  <c:v>restaurantes</c:v>
                </c:pt>
                <c:pt idx="23">
                  <c:v>otros gastos</c:v>
                </c:pt>
                <c:pt idx="24">
                  <c:v>Gastos medicos</c:v>
                </c:pt>
                <c:pt idx="25">
                  <c:v>Vestimenta</c:v>
                </c:pt>
                <c:pt idx="26">
                  <c:v>Pago Escolar</c:v>
                </c:pt>
                <c:pt idx="27">
                  <c:v>Materiales Escolares</c:v>
                </c:pt>
                <c:pt idx="28">
                  <c:v>Organization dues or fees</c:v>
                </c:pt>
                <c:pt idx="29">
                  <c:v>Merienda o almuerzo</c:v>
                </c:pt>
                <c:pt idx="30">
                  <c:v>Cuidado de niño</c:v>
                </c:pt>
                <c:pt idx="31">
                  <c:v>Juegos/ Juguetes</c:v>
                </c:pt>
                <c:pt idx="32">
                  <c:v>Otros</c:v>
                </c:pt>
                <c:pt idx="33">
                  <c:v>Personal</c:v>
                </c:pt>
                <c:pt idx="34">
                  <c:v>Estudiantil</c:v>
                </c:pt>
                <c:pt idx="35">
                  <c:v>Tarjeta Credito 1</c:v>
                </c:pt>
                <c:pt idx="36">
                  <c:v>Tarjeta Credito 2</c:v>
                </c:pt>
                <c:pt idx="37">
                  <c:v>Tarjeta Credito 3</c:v>
                </c:pt>
                <c:pt idx="38">
                  <c:v>Otros</c:v>
                </c:pt>
                <c:pt idx="39">
                  <c:v>Medicos</c:v>
                </c:pt>
                <c:pt idx="40">
                  <c:v>Peluqueria/Salon</c:v>
                </c:pt>
                <c:pt idx="41">
                  <c:v>Vestimenta</c:v>
                </c:pt>
                <c:pt idx="42">
                  <c:v>Lavanderia</c:v>
                </c:pt>
                <c:pt idx="43">
                  <c:v>Gimnasio</c:v>
                </c:pt>
                <c:pt idx="44">
                  <c:v>Otros</c:v>
                </c:pt>
                <c:pt idx="45">
                  <c:v>alimento</c:v>
                </c:pt>
                <c:pt idx="46">
                  <c:v>gastos medicos</c:v>
                </c:pt>
                <c:pt idx="47">
                  <c:v>peluqueria</c:v>
                </c:pt>
                <c:pt idx="48">
                  <c:v>juguetes</c:v>
                </c:pt>
                <c:pt idx="49">
                  <c:v>otros gastos</c:v>
                </c:pt>
                <c:pt idx="50">
                  <c:v>fundacion 1</c:v>
                </c:pt>
                <c:pt idx="51">
                  <c:v>fundacion 2</c:v>
                </c:pt>
                <c:pt idx="52">
                  <c:v>fundacion 3</c:v>
                </c:pt>
                <c:pt idx="53">
                  <c:v> Alquiler Video/DVD</c:v>
                </c:pt>
                <c:pt idx="54">
                  <c:v>Eventos sociales</c:v>
                </c:pt>
                <c:pt idx="55">
                  <c:v>Cine</c:v>
                </c:pt>
                <c:pt idx="56">
                  <c:v>Conciertos</c:v>
                </c:pt>
                <c:pt idx="57">
                  <c:v>Eventos deportivos</c:v>
                </c:pt>
                <c:pt idx="58">
                  <c:v>Teatro</c:v>
                </c:pt>
                <c:pt idx="59">
                  <c:v>Otros</c:v>
                </c:pt>
                <c:pt idx="60">
                  <c:v>Plan de Retiro</c:v>
                </c:pt>
                <c:pt idx="61">
                  <c:v>Cuenta de Inversion</c:v>
                </c:pt>
                <c:pt idx="62">
                  <c:v>Universidad de los hijos</c:v>
                </c:pt>
                <c:pt idx="63">
                  <c:v>Fondo de Emergencia</c:v>
                </c:pt>
                <c:pt idx="64">
                  <c:v>Otros ahorros</c:v>
                </c:pt>
              </c:strCache>
            </c:strRef>
          </c:cat>
          <c:val>
            <c:numRef>
              <c:f>(Septiembre!$C$15:$C$24,Septiembre!$C$28:$C$34,Septiembre!$C$38:$C$41,Septiembre!$C$45:$C$47,Septiembre!$C$51:$C$59,Septiembre!$H$63:$H$65,Septiembre!$H$54:$H$59,Septiembre!$H$45:$H$50,Septiembre!$H$37:$H$41,Septiembre!$H$31:$H$33,Septiembre!$H$21:$H$27,Septiembre!$C$7:$C$11)</c:f>
              <c:numCache>
                <c:formatCode>_-[$RD$-1C0A]* #,##0.00_-;\-[$RD$-1C0A]* #,##0.00_-;_-[$RD$-1C0A]* "-"??_-;_-@_-</c:formatCode>
                <c:ptCount val="68"/>
                <c:pt idx="0">
                  <c:v>16000</c:v>
                </c:pt>
                <c:pt idx="1">
                  <c:v>0</c:v>
                </c:pt>
                <c:pt idx="2">
                  <c:v>0</c:v>
                </c:pt>
                <c:pt idx="3">
                  <c:v>200</c:v>
                </c:pt>
                <c:pt idx="4">
                  <c:v>100</c:v>
                </c:pt>
                <c:pt idx="5">
                  <c:v>0</c:v>
                </c:pt>
                <c:pt idx="6">
                  <c:v>1000</c:v>
                </c:pt>
                <c:pt idx="7">
                  <c:v>450</c:v>
                </c:pt>
                <c:pt idx="8">
                  <c:v>1800</c:v>
                </c:pt>
                <c:pt idx="9">
                  <c:v>500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500</c:v>
                </c:pt>
                <c:pt idx="19">
                  <c:v>0</c:v>
                </c:pt>
                <c:pt idx="20">
                  <c:v>0</c:v>
                </c:pt>
                <c:pt idx="21">
                  <c:v>2000</c:v>
                </c:pt>
                <c:pt idx="22">
                  <c:v>4000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44">
                  <c:v>1000</c:v>
                </c:pt>
                <c:pt idx="56">
                  <c:v>0</c:v>
                </c:pt>
                <c:pt idx="57">
                  <c:v>5000</c:v>
                </c:pt>
                <c:pt idx="58">
                  <c:v>700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3">
                  <c:v>5000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accent1">
        <a:lumMod val="60000"/>
        <a:lumOff val="40000"/>
      </a:schemeClr>
    </a:solidFill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>
                <a:effectLst/>
              </a:rPr>
              <a:t>Gastos por Categoria</a:t>
            </a:r>
            <a:endParaRPr lang="es-DO">
              <a:effectLst/>
            </a:endParaRP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invertIfNegative val="0"/>
          <c:cat>
            <c:strRef>
              <c:f>(Septiembre!$B$6,Septiembre!$B$14,Septiembre!$B$27,Septiembre!$B$37,Septiembre!$B$44,Septiembre!$B$50,Septiembre!$G$62,Septiembre!$G$53,Septiembre!$G$44,Septiembre!$G$36,Septiembre!$G$30,Septiembre!$G$20)</c:f>
              <c:strCache>
                <c:ptCount val="12"/>
                <c:pt idx="0">
                  <c:v>Ahorro/ Inversiones</c:v>
                </c:pt>
                <c:pt idx="1">
                  <c:v>Vivienda</c:v>
                </c:pt>
                <c:pt idx="2">
                  <c:v>Transporte</c:v>
                </c:pt>
                <c:pt idx="3">
                  <c:v>Seguros</c:v>
                </c:pt>
                <c:pt idx="4">
                  <c:v>Comida</c:v>
                </c:pt>
                <c:pt idx="5">
                  <c:v>Niños</c:v>
                </c:pt>
                <c:pt idx="6">
                  <c:v>Gastos Legales</c:v>
                </c:pt>
                <c:pt idx="7">
                  <c:v>Gastos Financieros/ Prestamos</c:v>
                </c:pt>
                <c:pt idx="8">
                  <c:v>Cuidado Personal</c:v>
                </c:pt>
                <c:pt idx="9">
                  <c:v>Mascotas</c:v>
                </c:pt>
                <c:pt idx="10">
                  <c:v>Regalos y Donaciones</c:v>
                </c:pt>
                <c:pt idx="11">
                  <c:v>Entretenimiento</c:v>
                </c:pt>
              </c:strCache>
            </c:strRef>
          </c:cat>
          <c:val>
            <c:numRef>
              <c:f>(Septiembre!$D$12,Septiembre!$D$25,Septiembre!$D$35,Septiembre!$D$42,Septiembre!$D$48,Septiembre!$D$60,Septiembre!$I$66,Septiembre!$I$60,Septiembre!$I$51,Septiembre!$I$42,Septiembre!$I$34,Septiembre!$I$28)</c:f>
              <c:numCache>
                <c:formatCode>_-[$RD$-1C0A]* #,##0.00_-;\-[$RD$-1C0A]* #,##0.00_-;_-[$RD$-1C0A]* "-"??_-;_-@_-</c:formatCode>
                <c:ptCount val="12"/>
                <c:pt idx="0">
                  <c:v>5000</c:v>
                </c:pt>
                <c:pt idx="1">
                  <c:v>19244</c:v>
                </c:pt>
                <c:pt idx="2">
                  <c:v>4000</c:v>
                </c:pt>
                <c:pt idx="3">
                  <c:v>500</c:v>
                </c:pt>
                <c:pt idx="4">
                  <c:v>5500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</c:v>
                </c:pt>
                <c:pt idx="9">
                  <c:v>0</c:v>
                </c:pt>
                <c:pt idx="10">
                  <c:v>0</c:v>
                </c:pt>
                <c:pt idx="11" formatCode="&quot;$&quot;#,##0_);[Red]\(&quot;$&quot;#,##0\)">
                  <c:v>5000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235847040"/>
        <c:axId val="235852928"/>
        <c:axId val="0"/>
      </c:bar3DChart>
      <c:catAx>
        <c:axId val="235847040"/>
        <c:scaling>
          <c:orientation val="minMax"/>
        </c:scaling>
        <c:delete val="0"/>
        <c:axPos val="l"/>
        <c:majorTickMark val="none"/>
        <c:minorTickMark val="none"/>
        <c:tickLblPos val="nextTo"/>
        <c:crossAx val="235852928"/>
        <c:crosses val="autoZero"/>
        <c:auto val="1"/>
        <c:lblAlgn val="ctr"/>
        <c:lblOffset val="100"/>
        <c:noMultiLvlLbl val="0"/>
      </c:catAx>
      <c:valAx>
        <c:axId val="235852928"/>
        <c:scaling>
          <c:orientation val="minMax"/>
        </c:scaling>
        <c:delete val="1"/>
        <c:axPos val="b"/>
        <c:numFmt formatCode="_-[$RD$-1C0A]* #,##0.00_-;\-[$RD$-1C0A]* #,##0.00_-;_-[$RD$-1C0A]* &quot;-&quot;??_-;_-@_-" sourceLinked="1"/>
        <c:majorTickMark val="out"/>
        <c:minorTickMark val="none"/>
        <c:tickLblPos val="nextTo"/>
        <c:crossAx val="2358470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cat>
            <c:strRef>
              <c:f>(Octubre!$B$15:$B$24,Octubre!$B$28:$B$34,Octubre!$B$38:$B$41,Octubre!$B$45:$B$47,Octubre!$B$51:$B$59,Octubre!$G$54:$G$59,Octubre!$G$45:$G$50,Octubre!$G$37:$G$41,Octubre!$G$31:$G$33,Octubre!$G$21:$G$27,Octubre!$B$7:$B$11)</c:f>
              <c:strCache>
                <c:ptCount val="65"/>
                <c:pt idx="0">
                  <c:v>Alquiler</c:v>
                </c:pt>
                <c:pt idx="1">
                  <c:v>Suministros</c:v>
                </c:pt>
                <c:pt idx="2">
                  <c:v>Otros gastos</c:v>
                </c:pt>
                <c:pt idx="3">
                  <c:v>Agua</c:v>
                </c:pt>
                <c:pt idx="4">
                  <c:v>Recogida de Basura</c:v>
                </c:pt>
                <c:pt idx="5">
                  <c:v>Mantenimiento o reparaciones</c:v>
                </c:pt>
                <c:pt idx="6">
                  <c:v>Gas</c:v>
                </c:pt>
                <c:pt idx="7">
                  <c:v>Cable</c:v>
                </c:pt>
                <c:pt idx="8">
                  <c:v>Telefono</c:v>
                </c:pt>
                <c:pt idx="9">
                  <c:v>Electricidad</c:v>
                </c:pt>
                <c:pt idx="10">
                  <c:v>Prestamo vehicular 1</c:v>
                </c:pt>
                <c:pt idx="11">
                  <c:v>Prestamo vehicular 2</c:v>
                </c:pt>
                <c:pt idx="12">
                  <c:v>Bus/Taxi/ Metro</c:v>
                </c:pt>
                <c:pt idx="13">
                  <c:v>Combustible</c:v>
                </c:pt>
                <c:pt idx="14">
                  <c:v>Seguro</c:v>
                </c:pt>
                <c:pt idx="15">
                  <c:v>Mantenimiento</c:v>
                </c:pt>
                <c:pt idx="16">
                  <c:v>Otros gastos</c:v>
                </c:pt>
                <c:pt idx="17">
                  <c:v>hogar</c:v>
                </c:pt>
                <c:pt idx="18">
                  <c:v>salud</c:v>
                </c:pt>
                <c:pt idx="19">
                  <c:v>vida</c:v>
                </c:pt>
                <c:pt idx="20">
                  <c:v>otro</c:v>
                </c:pt>
                <c:pt idx="21">
                  <c:v>supermercado</c:v>
                </c:pt>
                <c:pt idx="22">
                  <c:v>restaurantes</c:v>
                </c:pt>
                <c:pt idx="23">
                  <c:v>otros gastos</c:v>
                </c:pt>
                <c:pt idx="24">
                  <c:v>Gastos medicos</c:v>
                </c:pt>
                <c:pt idx="25">
                  <c:v>Vestimenta</c:v>
                </c:pt>
                <c:pt idx="26">
                  <c:v>Pago Escolar</c:v>
                </c:pt>
                <c:pt idx="27">
                  <c:v>Materiales Escolares</c:v>
                </c:pt>
                <c:pt idx="28">
                  <c:v>Organization dues or fees</c:v>
                </c:pt>
                <c:pt idx="29">
                  <c:v>Merienda o almuerzo</c:v>
                </c:pt>
                <c:pt idx="30">
                  <c:v>Cuidado de niño</c:v>
                </c:pt>
                <c:pt idx="31">
                  <c:v>Juegos/ Juguetes</c:v>
                </c:pt>
                <c:pt idx="32">
                  <c:v>Otros</c:v>
                </c:pt>
                <c:pt idx="33">
                  <c:v>Personal</c:v>
                </c:pt>
                <c:pt idx="34">
                  <c:v>Estudiantil</c:v>
                </c:pt>
                <c:pt idx="35">
                  <c:v>Tarjeta Credito 1</c:v>
                </c:pt>
                <c:pt idx="36">
                  <c:v>Tarjeta Credito 2</c:v>
                </c:pt>
                <c:pt idx="37">
                  <c:v>Tarjeta Credito 3</c:v>
                </c:pt>
                <c:pt idx="38">
                  <c:v>Otros</c:v>
                </c:pt>
                <c:pt idx="39">
                  <c:v>Medicos</c:v>
                </c:pt>
                <c:pt idx="40">
                  <c:v>Peluqueria/Salon</c:v>
                </c:pt>
                <c:pt idx="41">
                  <c:v>Vestimenta</c:v>
                </c:pt>
                <c:pt idx="42">
                  <c:v>Lavanderia</c:v>
                </c:pt>
                <c:pt idx="43">
                  <c:v>Gimnasio</c:v>
                </c:pt>
                <c:pt idx="44">
                  <c:v>Otros</c:v>
                </c:pt>
                <c:pt idx="45">
                  <c:v>alimento</c:v>
                </c:pt>
                <c:pt idx="46">
                  <c:v>gastos medicos</c:v>
                </c:pt>
                <c:pt idx="47">
                  <c:v>peluqueria</c:v>
                </c:pt>
                <c:pt idx="48">
                  <c:v>juguetes</c:v>
                </c:pt>
                <c:pt idx="49">
                  <c:v>otros gastos</c:v>
                </c:pt>
                <c:pt idx="50">
                  <c:v>fundacion 1</c:v>
                </c:pt>
                <c:pt idx="51">
                  <c:v>fundacion 2</c:v>
                </c:pt>
                <c:pt idx="52">
                  <c:v>fundacion 3</c:v>
                </c:pt>
                <c:pt idx="53">
                  <c:v> Alquiler Video/DVD</c:v>
                </c:pt>
                <c:pt idx="54">
                  <c:v>Eventos sociales</c:v>
                </c:pt>
                <c:pt idx="55">
                  <c:v>Cine</c:v>
                </c:pt>
                <c:pt idx="56">
                  <c:v>Conciertos</c:v>
                </c:pt>
                <c:pt idx="57">
                  <c:v>Eventos deportivos</c:v>
                </c:pt>
                <c:pt idx="58">
                  <c:v>Teatro</c:v>
                </c:pt>
                <c:pt idx="59">
                  <c:v>Otros</c:v>
                </c:pt>
                <c:pt idx="60">
                  <c:v>Plan de Retiro</c:v>
                </c:pt>
                <c:pt idx="61">
                  <c:v>Cuenta de Inversion</c:v>
                </c:pt>
                <c:pt idx="62">
                  <c:v>Universidad de los hijos</c:v>
                </c:pt>
                <c:pt idx="63">
                  <c:v>Fondo de Emergencia</c:v>
                </c:pt>
                <c:pt idx="64">
                  <c:v>Otros ahorros</c:v>
                </c:pt>
              </c:strCache>
            </c:strRef>
          </c:cat>
          <c:val>
            <c:numRef>
              <c:f>(Octubre!$C$15:$C$24,Octubre!$C$28:$C$34,Octubre!$C$38:$C$41,Octubre!$C$45:$C$47,Octubre!$C$51:$C$59,Octubre!$H$63:$H$65,Octubre!$H$54:$H$59,Octubre!$H$45:$H$50,Octubre!$H$37:$H$41,Octubre!$H$31:$H$33,Octubre!$H$21:$H$27,Octubre!$C$7:$C$11)</c:f>
              <c:numCache>
                <c:formatCode>_-[$RD$-1C0A]* #,##0.00_-;\-[$RD$-1C0A]* #,##0.00_-;_-[$RD$-1C0A]* "-"??_-;_-@_-</c:formatCode>
                <c:ptCount val="68"/>
                <c:pt idx="0">
                  <c:v>16000</c:v>
                </c:pt>
                <c:pt idx="1">
                  <c:v>0</c:v>
                </c:pt>
                <c:pt idx="2">
                  <c:v>0</c:v>
                </c:pt>
                <c:pt idx="3">
                  <c:v>200</c:v>
                </c:pt>
                <c:pt idx="4">
                  <c:v>100</c:v>
                </c:pt>
                <c:pt idx="5">
                  <c:v>0</c:v>
                </c:pt>
                <c:pt idx="6">
                  <c:v>1000</c:v>
                </c:pt>
                <c:pt idx="7">
                  <c:v>450</c:v>
                </c:pt>
                <c:pt idx="8">
                  <c:v>1800</c:v>
                </c:pt>
                <c:pt idx="9">
                  <c:v>500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500</c:v>
                </c:pt>
                <c:pt idx="19">
                  <c:v>0</c:v>
                </c:pt>
                <c:pt idx="20">
                  <c:v>0</c:v>
                </c:pt>
                <c:pt idx="21">
                  <c:v>2000</c:v>
                </c:pt>
                <c:pt idx="22">
                  <c:v>4000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44">
                  <c:v>1000</c:v>
                </c:pt>
                <c:pt idx="56">
                  <c:v>0</c:v>
                </c:pt>
                <c:pt idx="57">
                  <c:v>5000</c:v>
                </c:pt>
                <c:pt idx="58">
                  <c:v>700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3">
                  <c:v>5000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accent1">
        <a:lumMod val="60000"/>
        <a:lumOff val="40000"/>
      </a:schemeClr>
    </a:solidFill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>
                <a:effectLst/>
              </a:rPr>
              <a:t>Gastos por Categoria</a:t>
            </a:r>
            <a:endParaRPr lang="es-DO">
              <a:effectLst/>
            </a:endParaRP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invertIfNegative val="0"/>
          <c:cat>
            <c:strRef>
              <c:f>(Enero!$B$6,Enero!$B$14,Enero!$B$27,Enero!$B$37,Enero!$B$44,Enero!$B$50,Enero!$G$62,Enero!$G$53,Enero!$G$44,Enero!$G$36,Enero!$G$30,Enero!$G$20)</c:f>
              <c:strCache>
                <c:ptCount val="12"/>
                <c:pt idx="0">
                  <c:v>Ahorro/ Inversiones</c:v>
                </c:pt>
                <c:pt idx="1">
                  <c:v>Vivienda</c:v>
                </c:pt>
                <c:pt idx="2">
                  <c:v>Transporte</c:v>
                </c:pt>
                <c:pt idx="3">
                  <c:v>Seguros</c:v>
                </c:pt>
                <c:pt idx="4">
                  <c:v>Comida</c:v>
                </c:pt>
                <c:pt idx="5">
                  <c:v>Niños</c:v>
                </c:pt>
                <c:pt idx="6">
                  <c:v>Gastos Legales</c:v>
                </c:pt>
                <c:pt idx="7">
                  <c:v>Gastos Financieros/ Prestamos</c:v>
                </c:pt>
                <c:pt idx="8">
                  <c:v>Cuidado Personal</c:v>
                </c:pt>
                <c:pt idx="9">
                  <c:v>Mascotas</c:v>
                </c:pt>
                <c:pt idx="10">
                  <c:v>Regalos y Donaciones</c:v>
                </c:pt>
                <c:pt idx="11">
                  <c:v>Entretenimiento</c:v>
                </c:pt>
              </c:strCache>
            </c:strRef>
          </c:cat>
          <c:val>
            <c:numRef>
              <c:f>(Enero!$D$12,Enero!$D$25,Enero!$D$35,Enero!$D$42,Enero!$D$48,Enero!$D$60,Enero!$I$66,Enero!$I$60,Enero!$I$51,Enero!$I$42,Enero!$I$34,Enero!$I$28)</c:f>
              <c:numCache>
                <c:formatCode>_-[$RD$-1C0A]* #,##0.00_-;\-[$RD$-1C0A]* #,##0.00_-;_-[$RD$-1C0A]* "-"??_-;_-@_-</c:formatCode>
                <c:ptCount val="12"/>
                <c:pt idx="0">
                  <c:v>5000</c:v>
                </c:pt>
                <c:pt idx="1">
                  <c:v>19244</c:v>
                </c:pt>
                <c:pt idx="2">
                  <c:v>4000</c:v>
                </c:pt>
                <c:pt idx="3">
                  <c:v>500</c:v>
                </c:pt>
                <c:pt idx="4">
                  <c:v>5500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</c:v>
                </c:pt>
                <c:pt idx="9">
                  <c:v>0</c:v>
                </c:pt>
                <c:pt idx="10">
                  <c:v>0</c:v>
                </c:pt>
                <c:pt idx="11" formatCode="&quot;$&quot;#,##0_);[Red]\(&quot;$&quot;#,##0\)">
                  <c:v>5000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260539136"/>
        <c:axId val="260540672"/>
        <c:axId val="0"/>
      </c:bar3DChart>
      <c:catAx>
        <c:axId val="260539136"/>
        <c:scaling>
          <c:orientation val="minMax"/>
        </c:scaling>
        <c:delete val="0"/>
        <c:axPos val="l"/>
        <c:majorTickMark val="none"/>
        <c:minorTickMark val="none"/>
        <c:tickLblPos val="nextTo"/>
        <c:crossAx val="260540672"/>
        <c:crosses val="autoZero"/>
        <c:auto val="1"/>
        <c:lblAlgn val="ctr"/>
        <c:lblOffset val="100"/>
        <c:noMultiLvlLbl val="0"/>
      </c:catAx>
      <c:valAx>
        <c:axId val="260540672"/>
        <c:scaling>
          <c:orientation val="minMax"/>
        </c:scaling>
        <c:delete val="1"/>
        <c:axPos val="b"/>
        <c:numFmt formatCode="_-[$RD$-1C0A]* #,##0.00_-;\-[$RD$-1C0A]* #,##0.00_-;_-[$RD$-1C0A]* &quot;-&quot;??_-;_-@_-" sourceLinked="1"/>
        <c:majorTickMark val="out"/>
        <c:minorTickMark val="none"/>
        <c:tickLblPos val="nextTo"/>
        <c:crossAx val="2605391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>
                <a:effectLst/>
              </a:rPr>
              <a:t>Gastos por Categoria</a:t>
            </a:r>
            <a:endParaRPr lang="es-DO">
              <a:effectLst/>
            </a:endParaRP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invertIfNegative val="0"/>
          <c:cat>
            <c:strRef>
              <c:f>(Octubre!$B$6,Octubre!$B$14,Octubre!$B$27,Octubre!$B$37,Octubre!$B$44,Octubre!$B$50,Octubre!$G$62,Octubre!$G$53,Octubre!$G$44,Octubre!$G$36,Octubre!$G$30,Octubre!$G$20)</c:f>
              <c:strCache>
                <c:ptCount val="12"/>
                <c:pt idx="0">
                  <c:v>Ahorro/ Inversiones</c:v>
                </c:pt>
                <c:pt idx="1">
                  <c:v>Vivienda</c:v>
                </c:pt>
                <c:pt idx="2">
                  <c:v>Transporte</c:v>
                </c:pt>
                <c:pt idx="3">
                  <c:v>Seguros</c:v>
                </c:pt>
                <c:pt idx="4">
                  <c:v>Comida</c:v>
                </c:pt>
                <c:pt idx="5">
                  <c:v>Niños</c:v>
                </c:pt>
                <c:pt idx="6">
                  <c:v>Gastos Legales</c:v>
                </c:pt>
                <c:pt idx="7">
                  <c:v>Gastos Financieros/ Prestamos</c:v>
                </c:pt>
                <c:pt idx="8">
                  <c:v>Cuidado Personal</c:v>
                </c:pt>
                <c:pt idx="9">
                  <c:v>Mascotas</c:v>
                </c:pt>
                <c:pt idx="10">
                  <c:v>Regalos y Donaciones</c:v>
                </c:pt>
                <c:pt idx="11">
                  <c:v>Entretenimiento</c:v>
                </c:pt>
              </c:strCache>
            </c:strRef>
          </c:cat>
          <c:val>
            <c:numRef>
              <c:f>(Octubre!$D$12,Octubre!$D$25,Octubre!$D$35,Octubre!$D$42,Octubre!$D$48,Octubre!$D$60,Octubre!$I$66,Octubre!$I$60,Octubre!$I$51,Octubre!$I$42,Octubre!$I$34,Octubre!$I$28)</c:f>
              <c:numCache>
                <c:formatCode>_-[$RD$-1C0A]* #,##0.00_-;\-[$RD$-1C0A]* #,##0.00_-;_-[$RD$-1C0A]* "-"??_-;_-@_-</c:formatCode>
                <c:ptCount val="12"/>
                <c:pt idx="0">
                  <c:v>5000</c:v>
                </c:pt>
                <c:pt idx="1">
                  <c:v>19244</c:v>
                </c:pt>
                <c:pt idx="2">
                  <c:v>4000</c:v>
                </c:pt>
                <c:pt idx="3">
                  <c:v>500</c:v>
                </c:pt>
                <c:pt idx="4">
                  <c:v>5500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</c:v>
                </c:pt>
                <c:pt idx="9">
                  <c:v>0</c:v>
                </c:pt>
                <c:pt idx="10">
                  <c:v>0</c:v>
                </c:pt>
                <c:pt idx="11" formatCode="&quot;$&quot;#,##0_);[Red]\(&quot;$&quot;#,##0\)">
                  <c:v>5000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273696256"/>
        <c:axId val="273697792"/>
        <c:axId val="0"/>
      </c:bar3DChart>
      <c:catAx>
        <c:axId val="273696256"/>
        <c:scaling>
          <c:orientation val="minMax"/>
        </c:scaling>
        <c:delete val="0"/>
        <c:axPos val="l"/>
        <c:majorTickMark val="none"/>
        <c:minorTickMark val="none"/>
        <c:tickLblPos val="nextTo"/>
        <c:crossAx val="273697792"/>
        <c:crosses val="autoZero"/>
        <c:auto val="1"/>
        <c:lblAlgn val="ctr"/>
        <c:lblOffset val="100"/>
        <c:noMultiLvlLbl val="0"/>
      </c:catAx>
      <c:valAx>
        <c:axId val="273697792"/>
        <c:scaling>
          <c:orientation val="minMax"/>
        </c:scaling>
        <c:delete val="1"/>
        <c:axPos val="b"/>
        <c:numFmt formatCode="_-[$RD$-1C0A]* #,##0.00_-;\-[$RD$-1C0A]* #,##0.00_-;_-[$RD$-1C0A]* &quot;-&quot;??_-;_-@_-" sourceLinked="1"/>
        <c:majorTickMark val="out"/>
        <c:minorTickMark val="none"/>
        <c:tickLblPos val="nextTo"/>
        <c:crossAx val="2736962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cat>
            <c:strRef>
              <c:f>(Noviembre!$B$15:$B$24,Noviembre!$B$28:$B$34,Noviembre!$B$38:$B$41,Noviembre!$B$45:$B$47,Noviembre!$B$51:$B$59,Noviembre!$G$54:$G$59,Noviembre!$G$45:$G$50,Noviembre!$G$37:$G$41,Noviembre!$G$31:$G$33,Noviembre!$G$21:$G$27,Noviembre!$B$7:$B$11)</c:f>
              <c:strCache>
                <c:ptCount val="65"/>
                <c:pt idx="0">
                  <c:v>Alquiler</c:v>
                </c:pt>
                <c:pt idx="1">
                  <c:v>Suministros</c:v>
                </c:pt>
                <c:pt idx="2">
                  <c:v>Otros gastos</c:v>
                </c:pt>
                <c:pt idx="3">
                  <c:v>Agua</c:v>
                </c:pt>
                <c:pt idx="4">
                  <c:v>Recogida de Basura</c:v>
                </c:pt>
                <c:pt idx="5">
                  <c:v>Mantenimiento o reparaciones</c:v>
                </c:pt>
                <c:pt idx="6">
                  <c:v>Gas</c:v>
                </c:pt>
                <c:pt idx="7">
                  <c:v>Cable</c:v>
                </c:pt>
                <c:pt idx="8">
                  <c:v>Telefono</c:v>
                </c:pt>
                <c:pt idx="9">
                  <c:v>Electricidad</c:v>
                </c:pt>
                <c:pt idx="10">
                  <c:v>Prestamo vehicular 1</c:v>
                </c:pt>
                <c:pt idx="11">
                  <c:v>Prestamo vehicular 2</c:v>
                </c:pt>
                <c:pt idx="12">
                  <c:v>Bus/Taxi/ Metro</c:v>
                </c:pt>
                <c:pt idx="13">
                  <c:v>Combustible</c:v>
                </c:pt>
                <c:pt idx="14">
                  <c:v>Seguro</c:v>
                </c:pt>
                <c:pt idx="15">
                  <c:v>Mantenimiento</c:v>
                </c:pt>
                <c:pt idx="16">
                  <c:v>Otros gastos</c:v>
                </c:pt>
                <c:pt idx="17">
                  <c:v>hogar</c:v>
                </c:pt>
                <c:pt idx="18">
                  <c:v>salud</c:v>
                </c:pt>
                <c:pt idx="19">
                  <c:v>vida</c:v>
                </c:pt>
                <c:pt idx="20">
                  <c:v>otro</c:v>
                </c:pt>
                <c:pt idx="21">
                  <c:v>supermercado</c:v>
                </c:pt>
                <c:pt idx="22">
                  <c:v>restaurantes</c:v>
                </c:pt>
                <c:pt idx="23">
                  <c:v>otros gastos</c:v>
                </c:pt>
                <c:pt idx="24">
                  <c:v>Gastos medicos</c:v>
                </c:pt>
                <c:pt idx="25">
                  <c:v>Vestimenta</c:v>
                </c:pt>
                <c:pt idx="26">
                  <c:v>Pago Escolar</c:v>
                </c:pt>
                <c:pt idx="27">
                  <c:v>Materiales Escolares</c:v>
                </c:pt>
                <c:pt idx="28">
                  <c:v>Organization dues or fees</c:v>
                </c:pt>
                <c:pt idx="29">
                  <c:v>Merienda o almuerzo</c:v>
                </c:pt>
                <c:pt idx="30">
                  <c:v>Cuidado de niño</c:v>
                </c:pt>
                <c:pt idx="31">
                  <c:v>Juegos/ Juguetes</c:v>
                </c:pt>
                <c:pt idx="32">
                  <c:v>Otros</c:v>
                </c:pt>
                <c:pt idx="33">
                  <c:v>Personal</c:v>
                </c:pt>
                <c:pt idx="34">
                  <c:v>Estudiantil</c:v>
                </c:pt>
                <c:pt idx="35">
                  <c:v>Tarjeta Credito 1</c:v>
                </c:pt>
                <c:pt idx="36">
                  <c:v>Tarjeta Credito 2</c:v>
                </c:pt>
                <c:pt idx="37">
                  <c:v>Tarjeta Credito 3</c:v>
                </c:pt>
                <c:pt idx="38">
                  <c:v>Otros</c:v>
                </c:pt>
                <c:pt idx="39">
                  <c:v>Medicos</c:v>
                </c:pt>
                <c:pt idx="40">
                  <c:v>Peluqueria/Salon</c:v>
                </c:pt>
                <c:pt idx="41">
                  <c:v>Vestimenta</c:v>
                </c:pt>
                <c:pt idx="42">
                  <c:v>Lavanderia</c:v>
                </c:pt>
                <c:pt idx="43">
                  <c:v>Gimnasio</c:v>
                </c:pt>
                <c:pt idx="44">
                  <c:v>Otros</c:v>
                </c:pt>
                <c:pt idx="45">
                  <c:v>alimento</c:v>
                </c:pt>
                <c:pt idx="46">
                  <c:v>gastos medicos</c:v>
                </c:pt>
                <c:pt idx="47">
                  <c:v>peluqueria</c:v>
                </c:pt>
                <c:pt idx="48">
                  <c:v>juguetes</c:v>
                </c:pt>
                <c:pt idx="49">
                  <c:v>otros gastos</c:v>
                </c:pt>
                <c:pt idx="50">
                  <c:v>fundacion 1</c:v>
                </c:pt>
                <c:pt idx="51">
                  <c:v>fundacion 2</c:v>
                </c:pt>
                <c:pt idx="52">
                  <c:v>fundacion 3</c:v>
                </c:pt>
                <c:pt idx="53">
                  <c:v> Alquiler Video/DVD</c:v>
                </c:pt>
                <c:pt idx="54">
                  <c:v>Eventos sociales</c:v>
                </c:pt>
                <c:pt idx="55">
                  <c:v>Cine</c:v>
                </c:pt>
                <c:pt idx="56">
                  <c:v>Conciertos</c:v>
                </c:pt>
                <c:pt idx="57">
                  <c:v>Eventos deportivos</c:v>
                </c:pt>
                <c:pt idx="58">
                  <c:v>Teatro</c:v>
                </c:pt>
                <c:pt idx="59">
                  <c:v>Otros</c:v>
                </c:pt>
                <c:pt idx="60">
                  <c:v>Plan de Retiro</c:v>
                </c:pt>
                <c:pt idx="61">
                  <c:v>Cuenta de Inversion</c:v>
                </c:pt>
                <c:pt idx="62">
                  <c:v>Universidad de los hijos</c:v>
                </c:pt>
                <c:pt idx="63">
                  <c:v>Fondo de Emergencia</c:v>
                </c:pt>
                <c:pt idx="64">
                  <c:v>Otros ahorros</c:v>
                </c:pt>
              </c:strCache>
            </c:strRef>
          </c:cat>
          <c:val>
            <c:numRef>
              <c:f>(Noviembre!$C$15:$C$24,Noviembre!$C$28:$C$34,Noviembre!$C$38:$C$41,Noviembre!$C$45:$C$47,Noviembre!$C$51:$C$59,Noviembre!$H$63:$H$65,Noviembre!$H$54:$H$59,Noviembre!$H$45:$H$50,Noviembre!$H$37:$H$41,Noviembre!$H$31:$H$33,Noviembre!$H$21:$H$27,Noviembre!$C$7:$C$11)</c:f>
              <c:numCache>
                <c:formatCode>_-[$RD$-1C0A]* #,##0.00_-;\-[$RD$-1C0A]* #,##0.00_-;_-[$RD$-1C0A]* "-"??_-;_-@_-</c:formatCode>
                <c:ptCount val="68"/>
                <c:pt idx="0">
                  <c:v>16000</c:v>
                </c:pt>
                <c:pt idx="1">
                  <c:v>0</c:v>
                </c:pt>
                <c:pt idx="2">
                  <c:v>0</c:v>
                </c:pt>
                <c:pt idx="3">
                  <c:v>200</c:v>
                </c:pt>
                <c:pt idx="4">
                  <c:v>100</c:v>
                </c:pt>
                <c:pt idx="5">
                  <c:v>0</c:v>
                </c:pt>
                <c:pt idx="6">
                  <c:v>1000</c:v>
                </c:pt>
                <c:pt idx="7">
                  <c:v>450</c:v>
                </c:pt>
                <c:pt idx="8">
                  <c:v>1800</c:v>
                </c:pt>
                <c:pt idx="9">
                  <c:v>500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500</c:v>
                </c:pt>
                <c:pt idx="19">
                  <c:v>0</c:v>
                </c:pt>
                <c:pt idx="20">
                  <c:v>0</c:v>
                </c:pt>
                <c:pt idx="21">
                  <c:v>2000</c:v>
                </c:pt>
                <c:pt idx="22">
                  <c:v>4000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44">
                  <c:v>1000</c:v>
                </c:pt>
                <c:pt idx="56">
                  <c:v>0</c:v>
                </c:pt>
                <c:pt idx="57">
                  <c:v>5000</c:v>
                </c:pt>
                <c:pt idx="58">
                  <c:v>700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3">
                  <c:v>5000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accent1">
        <a:lumMod val="60000"/>
        <a:lumOff val="40000"/>
      </a:schemeClr>
    </a:solidFill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>
                <a:effectLst/>
              </a:rPr>
              <a:t>Gastos por Categoria</a:t>
            </a:r>
            <a:endParaRPr lang="es-DO">
              <a:effectLst/>
            </a:endParaRP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invertIfNegative val="0"/>
          <c:cat>
            <c:strRef>
              <c:f>(Noviembre!$B$6,Noviembre!$B$14,Noviembre!$B$27,Noviembre!$B$37,Noviembre!$B$44,Noviembre!$B$50,Noviembre!$G$62,Noviembre!$G$53,Noviembre!$G$44,Noviembre!$G$36,Noviembre!$G$30,Noviembre!$G$20)</c:f>
              <c:strCache>
                <c:ptCount val="12"/>
                <c:pt idx="0">
                  <c:v>Ahorro/ Inversiones</c:v>
                </c:pt>
                <c:pt idx="1">
                  <c:v>Vivienda</c:v>
                </c:pt>
                <c:pt idx="2">
                  <c:v>Transporte</c:v>
                </c:pt>
                <c:pt idx="3">
                  <c:v>Seguros</c:v>
                </c:pt>
                <c:pt idx="4">
                  <c:v>Comida</c:v>
                </c:pt>
                <c:pt idx="5">
                  <c:v>Niños</c:v>
                </c:pt>
                <c:pt idx="6">
                  <c:v>Gastos Legales</c:v>
                </c:pt>
                <c:pt idx="7">
                  <c:v>Gastos Financieros/ Prestamos</c:v>
                </c:pt>
                <c:pt idx="8">
                  <c:v>Cuidado Personal</c:v>
                </c:pt>
                <c:pt idx="9">
                  <c:v>Mascotas</c:v>
                </c:pt>
                <c:pt idx="10">
                  <c:v>Regalos y Donaciones</c:v>
                </c:pt>
                <c:pt idx="11">
                  <c:v>Entretenimiento</c:v>
                </c:pt>
              </c:strCache>
            </c:strRef>
          </c:cat>
          <c:val>
            <c:numRef>
              <c:f>(Noviembre!$D$12,Noviembre!$D$25,Noviembre!$D$35,Noviembre!$D$42,Noviembre!$D$48,Noviembre!$D$60,Noviembre!$I$66,Noviembre!$I$60,Noviembre!$I$51,Noviembre!$I$42,Noviembre!$I$34,Noviembre!$I$28)</c:f>
              <c:numCache>
                <c:formatCode>_-[$RD$-1C0A]* #,##0.00_-;\-[$RD$-1C0A]* #,##0.00_-;_-[$RD$-1C0A]* "-"??_-;_-@_-</c:formatCode>
                <c:ptCount val="12"/>
                <c:pt idx="0">
                  <c:v>5000</c:v>
                </c:pt>
                <c:pt idx="1">
                  <c:v>19244</c:v>
                </c:pt>
                <c:pt idx="2">
                  <c:v>4000</c:v>
                </c:pt>
                <c:pt idx="3">
                  <c:v>500</c:v>
                </c:pt>
                <c:pt idx="4">
                  <c:v>5500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</c:v>
                </c:pt>
                <c:pt idx="9">
                  <c:v>0</c:v>
                </c:pt>
                <c:pt idx="10">
                  <c:v>0</c:v>
                </c:pt>
                <c:pt idx="11" formatCode="&quot;$&quot;#,##0_);[Red]\(&quot;$&quot;#,##0\)">
                  <c:v>5000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88701952"/>
        <c:axId val="88826624"/>
        <c:axId val="0"/>
      </c:bar3DChart>
      <c:catAx>
        <c:axId val="88701952"/>
        <c:scaling>
          <c:orientation val="minMax"/>
        </c:scaling>
        <c:delete val="0"/>
        <c:axPos val="l"/>
        <c:majorTickMark val="none"/>
        <c:minorTickMark val="none"/>
        <c:tickLblPos val="nextTo"/>
        <c:crossAx val="88826624"/>
        <c:crosses val="autoZero"/>
        <c:auto val="1"/>
        <c:lblAlgn val="ctr"/>
        <c:lblOffset val="100"/>
        <c:noMultiLvlLbl val="0"/>
      </c:catAx>
      <c:valAx>
        <c:axId val="88826624"/>
        <c:scaling>
          <c:orientation val="minMax"/>
        </c:scaling>
        <c:delete val="1"/>
        <c:axPos val="b"/>
        <c:numFmt formatCode="_-[$RD$-1C0A]* #,##0.00_-;\-[$RD$-1C0A]* #,##0.00_-;_-[$RD$-1C0A]* &quot;-&quot;??_-;_-@_-" sourceLinked="1"/>
        <c:majorTickMark val="out"/>
        <c:minorTickMark val="none"/>
        <c:tickLblPos val="nextTo"/>
        <c:crossAx val="887019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cat>
            <c:strRef>
              <c:f>(Diciembre!$B$15:$B$24,Diciembre!$B$28:$B$34,Diciembre!$B$38:$B$41,Diciembre!$B$45:$B$47,Diciembre!$B$51:$B$59,Diciembre!$G$54:$G$59,Diciembre!$G$45:$G$50,Diciembre!$G$37:$G$41,Diciembre!$G$31:$G$33,Diciembre!$G$21:$G$27,Diciembre!$B$7:$B$11)</c:f>
              <c:strCache>
                <c:ptCount val="65"/>
                <c:pt idx="0">
                  <c:v>Alquiler</c:v>
                </c:pt>
                <c:pt idx="1">
                  <c:v>Suministros</c:v>
                </c:pt>
                <c:pt idx="2">
                  <c:v>Otros gastos</c:v>
                </c:pt>
                <c:pt idx="3">
                  <c:v>Agua</c:v>
                </c:pt>
                <c:pt idx="4">
                  <c:v>Recogida de Basura</c:v>
                </c:pt>
                <c:pt idx="5">
                  <c:v>Mantenimiento o reparaciones</c:v>
                </c:pt>
                <c:pt idx="6">
                  <c:v>Gas</c:v>
                </c:pt>
                <c:pt idx="7">
                  <c:v>Cable</c:v>
                </c:pt>
                <c:pt idx="8">
                  <c:v>Telefono</c:v>
                </c:pt>
                <c:pt idx="9">
                  <c:v>Electricidad</c:v>
                </c:pt>
                <c:pt idx="10">
                  <c:v>Prestamo vehicular 1</c:v>
                </c:pt>
                <c:pt idx="11">
                  <c:v>Prestamo vehicular 2</c:v>
                </c:pt>
                <c:pt idx="12">
                  <c:v>Bus/Taxi/ Metro</c:v>
                </c:pt>
                <c:pt idx="13">
                  <c:v>Combustible</c:v>
                </c:pt>
                <c:pt idx="14">
                  <c:v>Seguro</c:v>
                </c:pt>
                <c:pt idx="15">
                  <c:v>Mantenimiento</c:v>
                </c:pt>
                <c:pt idx="16">
                  <c:v>Otros gastos</c:v>
                </c:pt>
                <c:pt idx="17">
                  <c:v>hogar</c:v>
                </c:pt>
                <c:pt idx="18">
                  <c:v>salud</c:v>
                </c:pt>
                <c:pt idx="19">
                  <c:v>vida</c:v>
                </c:pt>
                <c:pt idx="20">
                  <c:v>otro</c:v>
                </c:pt>
                <c:pt idx="21">
                  <c:v>supermercado</c:v>
                </c:pt>
                <c:pt idx="22">
                  <c:v>restaurantes</c:v>
                </c:pt>
                <c:pt idx="23">
                  <c:v>otros gastos</c:v>
                </c:pt>
                <c:pt idx="24">
                  <c:v>Gastos medicos</c:v>
                </c:pt>
                <c:pt idx="25">
                  <c:v>Vestimenta</c:v>
                </c:pt>
                <c:pt idx="26">
                  <c:v>Pago Escolar</c:v>
                </c:pt>
                <c:pt idx="27">
                  <c:v>Materiales Escolares</c:v>
                </c:pt>
                <c:pt idx="28">
                  <c:v>Organization dues or fees</c:v>
                </c:pt>
                <c:pt idx="29">
                  <c:v>Merienda o almuerzo</c:v>
                </c:pt>
                <c:pt idx="30">
                  <c:v>Cuidado de niño</c:v>
                </c:pt>
                <c:pt idx="31">
                  <c:v>Juegos/ Juguetes</c:v>
                </c:pt>
                <c:pt idx="32">
                  <c:v>Otros</c:v>
                </c:pt>
                <c:pt idx="33">
                  <c:v>Personal</c:v>
                </c:pt>
                <c:pt idx="34">
                  <c:v>Estudiantil</c:v>
                </c:pt>
                <c:pt idx="35">
                  <c:v>Tarjeta Credito 1</c:v>
                </c:pt>
                <c:pt idx="36">
                  <c:v>Tarjeta Credito 2</c:v>
                </c:pt>
                <c:pt idx="37">
                  <c:v>Tarjeta Credito 3</c:v>
                </c:pt>
                <c:pt idx="38">
                  <c:v>Otros</c:v>
                </c:pt>
                <c:pt idx="39">
                  <c:v>Medicos</c:v>
                </c:pt>
                <c:pt idx="40">
                  <c:v>Peluqueria/Salon</c:v>
                </c:pt>
                <c:pt idx="41">
                  <c:v>Vestimenta</c:v>
                </c:pt>
                <c:pt idx="42">
                  <c:v>Lavanderia</c:v>
                </c:pt>
                <c:pt idx="43">
                  <c:v>Gimnasio</c:v>
                </c:pt>
                <c:pt idx="44">
                  <c:v>Otros</c:v>
                </c:pt>
                <c:pt idx="45">
                  <c:v>alimento</c:v>
                </c:pt>
                <c:pt idx="46">
                  <c:v>gastos medicos</c:v>
                </c:pt>
                <c:pt idx="47">
                  <c:v>peluqueria</c:v>
                </c:pt>
                <c:pt idx="48">
                  <c:v>juguetes</c:v>
                </c:pt>
                <c:pt idx="49">
                  <c:v>otros gastos</c:v>
                </c:pt>
                <c:pt idx="50">
                  <c:v>fundacion 1</c:v>
                </c:pt>
                <c:pt idx="51">
                  <c:v>fundacion 2</c:v>
                </c:pt>
                <c:pt idx="52">
                  <c:v>fundacion 3</c:v>
                </c:pt>
                <c:pt idx="53">
                  <c:v> Alquiler Video/DVD</c:v>
                </c:pt>
                <c:pt idx="54">
                  <c:v>Eventos sociales</c:v>
                </c:pt>
                <c:pt idx="55">
                  <c:v>Cine</c:v>
                </c:pt>
                <c:pt idx="56">
                  <c:v>Conciertos</c:v>
                </c:pt>
                <c:pt idx="57">
                  <c:v>Eventos deportivos</c:v>
                </c:pt>
                <c:pt idx="58">
                  <c:v>Teatro</c:v>
                </c:pt>
                <c:pt idx="59">
                  <c:v>Otros</c:v>
                </c:pt>
                <c:pt idx="60">
                  <c:v>Plan de Retiro</c:v>
                </c:pt>
                <c:pt idx="61">
                  <c:v>Cuenta de Inversion</c:v>
                </c:pt>
                <c:pt idx="62">
                  <c:v>Universidad de los hijos</c:v>
                </c:pt>
                <c:pt idx="63">
                  <c:v>Fondo de Emergencia</c:v>
                </c:pt>
                <c:pt idx="64">
                  <c:v>Otros ahorros</c:v>
                </c:pt>
              </c:strCache>
            </c:strRef>
          </c:cat>
          <c:val>
            <c:numRef>
              <c:f>(Diciembre!$C$15:$C$24,Diciembre!$C$28:$C$34,Diciembre!$C$38:$C$41,Diciembre!$C$45:$C$47,Diciembre!$C$51:$C$59,Diciembre!$H$63:$H$65,Diciembre!$H$54:$H$59,Diciembre!$H$45:$H$50,Diciembre!$H$37:$H$41,Diciembre!$H$31:$H$33,Diciembre!$H$21:$H$27,Diciembre!$C$7:$C$11)</c:f>
              <c:numCache>
                <c:formatCode>_-[$RD$-1C0A]* #,##0.00_-;\-[$RD$-1C0A]* #,##0.00_-;_-[$RD$-1C0A]* "-"??_-;_-@_-</c:formatCode>
                <c:ptCount val="68"/>
                <c:pt idx="0">
                  <c:v>16000</c:v>
                </c:pt>
                <c:pt idx="1">
                  <c:v>0</c:v>
                </c:pt>
                <c:pt idx="2">
                  <c:v>0</c:v>
                </c:pt>
                <c:pt idx="3">
                  <c:v>200</c:v>
                </c:pt>
                <c:pt idx="4">
                  <c:v>100</c:v>
                </c:pt>
                <c:pt idx="5">
                  <c:v>0</c:v>
                </c:pt>
                <c:pt idx="6">
                  <c:v>1000</c:v>
                </c:pt>
                <c:pt idx="7">
                  <c:v>450</c:v>
                </c:pt>
                <c:pt idx="8">
                  <c:v>1800</c:v>
                </c:pt>
                <c:pt idx="9">
                  <c:v>500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500</c:v>
                </c:pt>
                <c:pt idx="19">
                  <c:v>0</c:v>
                </c:pt>
                <c:pt idx="20">
                  <c:v>0</c:v>
                </c:pt>
                <c:pt idx="21">
                  <c:v>2000</c:v>
                </c:pt>
                <c:pt idx="22">
                  <c:v>4000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44">
                  <c:v>1000</c:v>
                </c:pt>
                <c:pt idx="56">
                  <c:v>0</c:v>
                </c:pt>
                <c:pt idx="57">
                  <c:v>5000</c:v>
                </c:pt>
                <c:pt idx="58">
                  <c:v>700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3">
                  <c:v>5000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accent1">
        <a:lumMod val="60000"/>
        <a:lumOff val="40000"/>
      </a:schemeClr>
    </a:solidFill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>
                <a:effectLst/>
              </a:rPr>
              <a:t>Gastos por Categoria</a:t>
            </a:r>
            <a:endParaRPr lang="es-DO">
              <a:effectLst/>
            </a:endParaRP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invertIfNegative val="0"/>
          <c:cat>
            <c:strRef>
              <c:f>(Diciembre!$B$6,Diciembre!$B$14,Diciembre!$B$27,Diciembre!$B$37,Diciembre!$B$44,Diciembre!$B$50,Diciembre!$G$62,Diciembre!$G$53,Diciembre!$G$44,Diciembre!$G$36,Diciembre!$G$30,Diciembre!$G$20)</c:f>
              <c:strCache>
                <c:ptCount val="12"/>
                <c:pt idx="0">
                  <c:v>Ahorro/ Inversiones</c:v>
                </c:pt>
                <c:pt idx="1">
                  <c:v>Vivienda</c:v>
                </c:pt>
                <c:pt idx="2">
                  <c:v>Transporte</c:v>
                </c:pt>
                <c:pt idx="3">
                  <c:v>Seguros</c:v>
                </c:pt>
                <c:pt idx="4">
                  <c:v>Comida</c:v>
                </c:pt>
                <c:pt idx="5">
                  <c:v>Niños</c:v>
                </c:pt>
                <c:pt idx="6">
                  <c:v>Gastos Legales</c:v>
                </c:pt>
                <c:pt idx="7">
                  <c:v>Gastos Financieros/ Prestamos</c:v>
                </c:pt>
                <c:pt idx="8">
                  <c:v>Cuidado Personal</c:v>
                </c:pt>
                <c:pt idx="9">
                  <c:v>Mascotas</c:v>
                </c:pt>
                <c:pt idx="10">
                  <c:v>Regalos y Donaciones</c:v>
                </c:pt>
                <c:pt idx="11">
                  <c:v>Entretenimiento</c:v>
                </c:pt>
              </c:strCache>
            </c:strRef>
          </c:cat>
          <c:val>
            <c:numRef>
              <c:f>(Diciembre!$D$12,Diciembre!$D$25,Diciembre!$D$35,Diciembre!$D$42,Diciembre!$D$48,Diciembre!$D$60,Diciembre!$I$66,Diciembre!$I$60,Diciembre!$I$51,Diciembre!$I$42,Diciembre!$I$34,Diciembre!$I$28)</c:f>
              <c:numCache>
                <c:formatCode>_-[$RD$-1C0A]* #,##0.00_-;\-[$RD$-1C0A]* #,##0.00_-;_-[$RD$-1C0A]* "-"??_-;_-@_-</c:formatCode>
                <c:ptCount val="12"/>
                <c:pt idx="0">
                  <c:v>5000</c:v>
                </c:pt>
                <c:pt idx="1">
                  <c:v>19244</c:v>
                </c:pt>
                <c:pt idx="2">
                  <c:v>4000</c:v>
                </c:pt>
                <c:pt idx="3">
                  <c:v>500</c:v>
                </c:pt>
                <c:pt idx="4">
                  <c:v>5500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</c:v>
                </c:pt>
                <c:pt idx="9">
                  <c:v>0</c:v>
                </c:pt>
                <c:pt idx="10">
                  <c:v>0</c:v>
                </c:pt>
                <c:pt idx="11" formatCode="&quot;$&quot;#,##0_);[Red]\(&quot;$&quot;#,##0\)">
                  <c:v>5000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28517248"/>
        <c:axId val="128518784"/>
        <c:axId val="0"/>
      </c:bar3DChart>
      <c:catAx>
        <c:axId val="128517248"/>
        <c:scaling>
          <c:orientation val="minMax"/>
        </c:scaling>
        <c:delete val="0"/>
        <c:axPos val="l"/>
        <c:majorTickMark val="none"/>
        <c:minorTickMark val="none"/>
        <c:tickLblPos val="nextTo"/>
        <c:crossAx val="128518784"/>
        <c:crosses val="autoZero"/>
        <c:auto val="1"/>
        <c:lblAlgn val="ctr"/>
        <c:lblOffset val="100"/>
        <c:noMultiLvlLbl val="0"/>
      </c:catAx>
      <c:valAx>
        <c:axId val="128518784"/>
        <c:scaling>
          <c:orientation val="minMax"/>
        </c:scaling>
        <c:delete val="1"/>
        <c:axPos val="b"/>
        <c:numFmt formatCode="_-[$RD$-1C0A]* #,##0.00_-;\-[$RD$-1C0A]* #,##0.00_-;_-[$RD$-1C0A]* &quot;-&quot;??_-;_-@_-" sourceLinked="1"/>
        <c:majorTickMark val="out"/>
        <c:minorTickMark val="none"/>
        <c:tickLblPos val="nextTo"/>
        <c:crossAx val="1285172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(Acumulado!$B$15:$B$24,Acumulado!$B$28:$B$34,Acumulado!$B$38:$B$41,Acumulado!$B$45:$B$47,Acumulado!$B$51:$B$59,Acumulado!$G$54:$G$59,Acumulado!$G$45:$G$50,Acumulado!$G$37:$G$41,Acumulado!$G$31:$G$33,Acumulado!$G$21:$G$27,Acumulado!$B$7:$B$11)</c:f>
              <c:strCache>
                <c:ptCount val="65"/>
                <c:pt idx="0">
                  <c:v>Alquiler</c:v>
                </c:pt>
                <c:pt idx="1">
                  <c:v>Suministros</c:v>
                </c:pt>
                <c:pt idx="2">
                  <c:v>Otros gastos</c:v>
                </c:pt>
                <c:pt idx="3">
                  <c:v>Agua</c:v>
                </c:pt>
                <c:pt idx="4">
                  <c:v>Recogida de Basura</c:v>
                </c:pt>
                <c:pt idx="5">
                  <c:v>Mantenimiento o reparaciones</c:v>
                </c:pt>
                <c:pt idx="6">
                  <c:v>Gas</c:v>
                </c:pt>
                <c:pt idx="7">
                  <c:v>Cable</c:v>
                </c:pt>
                <c:pt idx="8">
                  <c:v>Telefono</c:v>
                </c:pt>
                <c:pt idx="9">
                  <c:v>Electricidad</c:v>
                </c:pt>
                <c:pt idx="10">
                  <c:v>Prestamo vehicular 1</c:v>
                </c:pt>
                <c:pt idx="11">
                  <c:v>Prestamo vehicular 2</c:v>
                </c:pt>
                <c:pt idx="12">
                  <c:v>Bus/Taxi/ Metro</c:v>
                </c:pt>
                <c:pt idx="13">
                  <c:v>Combustible</c:v>
                </c:pt>
                <c:pt idx="14">
                  <c:v>Seguro</c:v>
                </c:pt>
                <c:pt idx="15">
                  <c:v>Mantenimiento</c:v>
                </c:pt>
                <c:pt idx="16">
                  <c:v>Otros gastos</c:v>
                </c:pt>
                <c:pt idx="17">
                  <c:v>hogar</c:v>
                </c:pt>
                <c:pt idx="18">
                  <c:v>salud</c:v>
                </c:pt>
                <c:pt idx="19">
                  <c:v>vida</c:v>
                </c:pt>
                <c:pt idx="20">
                  <c:v>otro</c:v>
                </c:pt>
                <c:pt idx="21">
                  <c:v>supermercado</c:v>
                </c:pt>
                <c:pt idx="22">
                  <c:v>restaurantes</c:v>
                </c:pt>
                <c:pt idx="23">
                  <c:v>otros gastos</c:v>
                </c:pt>
                <c:pt idx="24">
                  <c:v>Gastos medicos</c:v>
                </c:pt>
                <c:pt idx="25">
                  <c:v>Vestimenta</c:v>
                </c:pt>
                <c:pt idx="26">
                  <c:v>Pago Escolar</c:v>
                </c:pt>
                <c:pt idx="27">
                  <c:v>Materiales Escolares</c:v>
                </c:pt>
                <c:pt idx="28">
                  <c:v>Organization dues or fees</c:v>
                </c:pt>
                <c:pt idx="29">
                  <c:v>Merienda o almuerzo</c:v>
                </c:pt>
                <c:pt idx="30">
                  <c:v>Cuidado de niño</c:v>
                </c:pt>
                <c:pt idx="31">
                  <c:v>Juegos/ Juguetes</c:v>
                </c:pt>
                <c:pt idx="32">
                  <c:v>Otros</c:v>
                </c:pt>
                <c:pt idx="33">
                  <c:v>Personal</c:v>
                </c:pt>
                <c:pt idx="34">
                  <c:v>Estudiantil</c:v>
                </c:pt>
                <c:pt idx="35">
                  <c:v>Tarjeta Credito 1</c:v>
                </c:pt>
                <c:pt idx="36">
                  <c:v>Tarjeta Credito 2</c:v>
                </c:pt>
                <c:pt idx="37">
                  <c:v>Tarjeta Credito 3</c:v>
                </c:pt>
                <c:pt idx="38">
                  <c:v>Otros</c:v>
                </c:pt>
                <c:pt idx="39">
                  <c:v>Medicos</c:v>
                </c:pt>
                <c:pt idx="40">
                  <c:v>Peluqueria/Salon</c:v>
                </c:pt>
                <c:pt idx="41">
                  <c:v>Vestimenta</c:v>
                </c:pt>
                <c:pt idx="42">
                  <c:v>Lavanderia</c:v>
                </c:pt>
                <c:pt idx="43">
                  <c:v>Gimnasio</c:v>
                </c:pt>
                <c:pt idx="44">
                  <c:v>Otros</c:v>
                </c:pt>
                <c:pt idx="45">
                  <c:v>alimento</c:v>
                </c:pt>
                <c:pt idx="46">
                  <c:v>gastos medicos</c:v>
                </c:pt>
                <c:pt idx="47">
                  <c:v>peluqueria</c:v>
                </c:pt>
                <c:pt idx="48">
                  <c:v>juguetes</c:v>
                </c:pt>
                <c:pt idx="49">
                  <c:v>otros gastos</c:v>
                </c:pt>
                <c:pt idx="50">
                  <c:v>fundacion 1</c:v>
                </c:pt>
                <c:pt idx="51">
                  <c:v>fundacion 2</c:v>
                </c:pt>
                <c:pt idx="52">
                  <c:v>fundacion 3</c:v>
                </c:pt>
                <c:pt idx="53">
                  <c:v> Alquiler Video/DVD</c:v>
                </c:pt>
                <c:pt idx="54">
                  <c:v>Eventos sociales</c:v>
                </c:pt>
                <c:pt idx="55">
                  <c:v>Cine</c:v>
                </c:pt>
                <c:pt idx="56">
                  <c:v>Conciertos</c:v>
                </c:pt>
                <c:pt idx="57">
                  <c:v>Eventos deportivos</c:v>
                </c:pt>
                <c:pt idx="58">
                  <c:v>Teatro</c:v>
                </c:pt>
                <c:pt idx="59">
                  <c:v>Otros</c:v>
                </c:pt>
                <c:pt idx="60">
                  <c:v>Plan de Retiro</c:v>
                </c:pt>
                <c:pt idx="61">
                  <c:v>Cuenta de Inversion</c:v>
                </c:pt>
                <c:pt idx="62">
                  <c:v>Universidad de los hijos</c:v>
                </c:pt>
                <c:pt idx="63">
                  <c:v>Fondo de Emergencia</c:v>
                </c:pt>
                <c:pt idx="64">
                  <c:v>Otros ahorros</c:v>
                </c:pt>
              </c:strCache>
            </c:strRef>
          </c:cat>
          <c:val>
            <c:numRef>
              <c:f>(Acumulado!$C$15:$C$24,Acumulado!$C$28:$C$34,Acumulado!$C$38:$C$41,Acumulado!$C$45:$C$47,Acumulado!$C$51:$C$59,Acumulado!$H$63:$H$65,Acumulado!$H$54:$H$59,Acumulado!$H$45:$H$50,Acumulado!$H$37:$H$41,Acumulado!$H$31:$H$33,Acumulado!$H$21:$H$27,Acumulado!$C$7:$C$11)</c:f>
              <c:numCache>
                <c:formatCode>_-[$RD$-1C0A]* #,##0.00_-;\-[$RD$-1C0A]* #,##0.00_-;_-[$RD$-1C0A]* "-"??_-;_-@_-</c:formatCode>
                <c:ptCount val="68"/>
                <c:pt idx="0">
                  <c:v>192000</c:v>
                </c:pt>
                <c:pt idx="1">
                  <c:v>0</c:v>
                </c:pt>
                <c:pt idx="2">
                  <c:v>0</c:v>
                </c:pt>
                <c:pt idx="3">
                  <c:v>2400</c:v>
                </c:pt>
                <c:pt idx="4">
                  <c:v>1200</c:v>
                </c:pt>
                <c:pt idx="5">
                  <c:v>0</c:v>
                </c:pt>
                <c:pt idx="6">
                  <c:v>12000</c:v>
                </c:pt>
                <c:pt idx="7">
                  <c:v>5400</c:v>
                </c:pt>
                <c:pt idx="8">
                  <c:v>21600</c:v>
                </c:pt>
                <c:pt idx="9">
                  <c:v>6000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72000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6000</c:v>
                </c:pt>
                <c:pt idx="19">
                  <c:v>0</c:v>
                </c:pt>
                <c:pt idx="20">
                  <c:v>0</c:v>
                </c:pt>
                <c:pt idx="21">
                  <c:v>24000</c:v>
                </c:pt>
                <c:pt idx="22">
                  <c:v>48000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12000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60000</c:v>
                </c:pt>
                <c:pt idx="58">
                  <c:v>8400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60000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accent1">
        <a:lumMod val="60000"/>
        <a:lumOff val="40000"/>
      </a:schemeClr>
    </a:solidFill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>
                <a:effectLst/>
              </a:rPr>
              <a:t>Gastos por Categoria</a:t>
            </a:r>
            <a:endParaRPr lang="es-DO">
              <a:effectLst/>
            </a:endParaRP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invertIfNegative val="0"/>
          <c:cat>
            <c:strRef>
              <c:f>(Acumulado!$B$6,Acumulado!$B$14,Acumulado!$B$27,Acumulado!$B$37,Acumulado!$B$44,Acumulado!$B$50,Acumulado!$G$62,Acumulado!$G$53,Acumulado!$G$44,Acumulado!$G$36,Acumulado!$G$30,Acumulado!$G$20)</c:f>
              <c:strCache>
                <c:ptCount val="12"/>
                <c:pt idx="0">
                  <c:v>Ahorro/ Inversiones</c:v>
                </c:pt>
                <c:pt idx="1">
                  <c:v>Vivienda</c:v>
                </c:pt>
                <c:pt idx="2">
                  <c:v>Transporte</c:v>
                </c:pt>
                <c:pt idx="3">
                  <c:v>Seguros</c:v>
                </c:pt>
                <c:pt idx="4">
                  <c:v>Comida</c:v>
                </c:pt>
                <c:pt idx="5">
                  <c:v>Niños</c:v>
                </c:pt>
                <c:pt idx="6">
                  <c:v>Gastos Legales</c:v>
                </c:pt>
                <c:pt idx="7">
                  <c:v>Gastos Financieros/ Prestamos</c:v>
                </c:pt>
                <c:pt idx="8">
                  <c:v>Cuidado Personal</c:v>
                </c:pt>
                <c:pt idx="9">
                  <c:v>Mascotas</c:v>
                </c:pt>
                <c:pt idx="10">
                  <c:v>Regalos y Donaciones</c:v>
                </c:pt>
                <c:pt idx="11">
                  <c:v>Entretenimiento</c:v>
                </c:pt>
              </c:strCache>
            </c:strRef>
          </c:cat>
          <c:val>
            <c:numRef>
              <c:f>(Acumulado!$D$12,Acumulado!$D$25,Acumulado!$D$35,Acumulado!$D$42,Acumulado!$D$48,Acumulado!$D$60,Acumulado!$I$66,Acumulado!$I$60,Acumulado!$I$51,Acumulado!$I$42,Acumulado!$I$34,Acumulado!$I$28)</c:f>
              <c:numCache>
                <c:formatCode>_-[$RD$-1C0A]* #,##0.00_-;\-[$RD$-1C0A]* #,##0.00_-;_-[$RD$-1C0A]* "-"??_-;_-@_-</c:formatCode>
                <c:ptCount val="12"/>
                <c:pt idx="0">
                  <c:v>60000</c:v>
                </c:pt>
                <c:pt idx="1">
                  <c:v>230928</c:v>
                </c:pt>
                <c:pt idx="2">
                  <c:v>48000</c:v>
                </c:pt>
                <c:pt idx="3">
                  <c:v>6000</c:v>
                </c:pt>
                <c:pt idx="4">
                  <c:v>66000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7200</c:v>
                </c:pt>
                <c:pt idx="9">
                  <c:v>0</c:v>
                </c:pt>
                <c:pt idx="10">
                  <c:v>0</c:v>
                </c:pt>
                <c:pt idx="11" formatCode="&quot;$&quot;#,##0_);[Red]\(&quot;$&quot;#,##0\)">
                  <c:v>60000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214702720"/>
        <c:axId val="214704512"/>
        <c:axId val="0"/>
      </c:bar3DChart>
      <c:catAx>
        <c:axId val="214702720"/>
        <c:scaling>
          <c:orientation val="minMax"/>
        </c:scaling>
        <c:delete val="0"/>
        <c:axPos val="l"/>
        <c:majorTickMark val="none"/>
        <c:minorTickMark val="none"/>
        <c:tickLblPos val="nextTo"/>
        <c:crossAx val="214704512"/>
        <c:crosses val="autoZero"/>
        <c:auto val="1"/>
        <c:lblAlgn val="ctr"/>
        <c:lblOffset val="100"/>
        <c:noMultiLvlLbl val="0"/>
      </c:catAx>
      <c:valAx>
        <c:axId val="214704512"/>
        <c:scaling>
          <c:orientation val="minMax"/>
        </c:scaling>
        <c:delete val="1"/>
        <c:axPos val="b"/>
        <c:numFmt formatCode="_-[$RD$-1C0A]* #,##0.00_-;\-[$RD$-1C0A]* #,##0.00_-;_-[$RD$-1C0A]* &quot;-&quot;??_-;_-@_-" sourceLinked="1"/>
        <c:majorTickMark val="out"/>
        <c:minorTickMark val="none"/>
        <c:tickLblPos val="nextTo"/>
        <c:crossAx val="2147027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cat>
            <c:strRef>
              <c:f>(Febrero!$B$15:$B$24,Febrero!$B$28:$B$34,Febrero!$B$38:$B$41,Febrero!$B$45:$B$47,Febrero!$B$51:$B$59,Febrero!$G$54:$G$59,Febrero!$G$45:$G$50,Febrero!$G$37:$G$41,Febrero!$G$31:$G$33,Febrero!$G$21:$G$27,Febrero!$B$7:$B$11)</c:f>
              <c:strCache>
                <c:ptCount val="65"/>
                <c:pt idx="0">
                  <c:v>Alquiler</c:v>
                </c:pt>
                <c:pt idx="1">
                  <c:v>Suministros</c:v>
                </c:pt>
                <c:pt idx="2">
                  <c:v>Otros gastos</c:v>
                </c:pt>
                <c:pt idx="3">
                  <c:v>Agua</c:v>
                </c:pt>
                <c:pt idx="4">
                  <c:v>Recogida de Basura</c:v>
                </c:pt>
                <c:pt idx="5">
                  <c:v>Mantenimiento o reparaciones</c:v>
                </c:pt>
                <c:pt idx="6">
                  <c:v>Gas</c:v>
                </c:pt>
                <c:pt idx="7">
                  <c:v>Cable</c:v>
                </c:pt>
                <c:pt idx="8">
                  <c:v>Telefono</c:v>
                </c:pt>
                <c:pt idx="9">
                  <c:v>Electricidad</c:v>
                </c:pt>
                <c:pt idx="10">
                  <c:v>Prestamo vehicular 1</c:v>
                </c:pt>
                <c:pt idx="11">
                  <c:v>Prestamo vehicular 2</c:v>
                </c:pt>
                <c:pt idx="12">
                  <c:v>Bus/Taxi/ Metro</c:v>
                </c:pt>
                <c:pt idx="13">
                  <c:v>Combustible</c:v>
                </c:pt>
                <c:pt idx="14">
                  <c:v>Seguro</c:v>
                </c:pt>
                <c:pt idx="15">
                  <c:v>Mantenimiento</c:v>
                </c:pt>
                <c:pt idx="16">
                  <c:v>Otros gastos</c:v>
                </c:pt>
                <c:pt idx="17">
                  <c:v>hogar</c:v>
                </c:pt>
                <c:pt idx="18">
                  <c:v>salud</c:v>
                </c:pt>
                <c:pt idx="19">
                  <c:v>vida</c:v>
                </c:pt>
                <c:pt idx="20">
                  <c:v>otro</c:v>
                </c:pt>
                <c:pt idx="21">
                  <c:v>supermercado</c:v>
                </c:pt>
                <c:pt idx="22">
                  <c:v>restaurantes</c:v>
                </c:pt>
                <c:pt idx="23">
                  <c:v>otros gastos</c:v>
                </c:pt>
                <c:pt idx="24">
                  <c:v>Gastos medicos</c:v>
                </c:pt>
                <c:pt idx="25">
                  <c:v>Vestimenta</c:v>
                </c:pt>
                <c:pt idx="26">
                  <c:v>Pago Escolar</c:v>
                </c:pt>
                <c:pt idx="27">
                  <c:v>Materiales Escolares</c:v>
                </c:pt>
                <c:pt idx="28">
                  <c:v>Organization dues or fees</c:v>
                </c:pt>
                <c:pt idx="29">
                  <c:v>Merienda o almuerzo</c:v>
                </c:pt>
                <c:pt idx="30">
                  <c:v>Cuidado de niño</c:v>
                </c:pt>
                <c:pt idx="31">
                  <c:v>Juegos/ Juguetes</c:v>
                </c:pt>
                <c:pt idx="32">
                  <c:v>Otros</c:v>
                </c:pt>
                <c:pt idx="33">
                  <c:v>Personal</c:v>
                </c:pt>
                <c:pt idx="34">
                  <c:v>Estudiantil</c:v>
                </c:pt>
                <c:pt idx="35">
                  <c:v>Tarjeta Credito 1</c:v>
                </c:pt>
                <c:pt idx="36">
                  <c:v>Tarjeta Credito 2</c:v>
                </c:pt>
                <c:pt idx="37">
                  <c:v>Tarjeta Credito 3</c:v>
                </c:pt>
                <c:pt idx="38">
                  <c:v>Otros</c:v>
                </c:pt>
                <c:pt idx="39">
                  <c:v>Medicos</c:v>
                </c:pt>
                <c:pt idx="40">
                  <c:v>Peluqueria/Salon</c:v>
                </c:pt>
                <c:pt idx="41">
                  <c:v>Vestimenta</c:v>
                </c:pt>
                <c:pt idx="42">
                  <c:v>Lavanderia</c:v>
                </c:pt>
                <c:pt idx="43">
                  <c:v>Gimnasio</c:v>
                </c:pt>
                <c:pt idx="44">
                  <c:v>Otros</c:v>
                </c:pt>
                <c:pt idx="45">
                  <c:v>alimento</c:v>
                </c:pt>
                <c:pt idx="46">
                  <c:v>gastos medicos</c:v>
                </c:pt>
                <c:pt idx="47">
                  <c:v>peluqueria</c:v>
                </c:pt>
                <c:pt idx="48">
                  <c:v>juguetes</c:v>
                </c:pt>
                <c:pt idx="49">
                  <c:v>otros gastos</c:v>
                </c:pt>
                <c:pt idx="50">
                  <c:v>fundacion 1</c:v>
                </c:pt>
                <c:pt idx="51">
                  <c:v>fundacion 2</c:v>
                </c:pt>
                <c:pt idx="52">
                  <c:v>fundacion 3</c:v>
                </c:pt>
                <c:pt idx="53">
                  <c:v> Alquiler Video/DVD</c:v>
                </c:pt>
                <c:pt idx="54">
                  <c:v>Eventos sociales</c:v>
                </c:pt>
                <c:pt idx="55">
                  <c:v>Cine</c:v>
                </c:pt>
                <c:pt idx="56">
                  <c:v>Conciertos</c:v>
                </c:pt>
                <c:pt idx="57">
                  <c:v>Eventos deportivos</c:v>
                </c:pt>
                <c:pt idx="58">
                  <c:v>Teatro</c:v>
                </c:pt>
                <c:pt idx="59">
                  <c:v>Otros</c:v>
                </c:pt>
                <c:pt idx="60">
                  <c:v>Plan de Retiro</c:v>
                </c:pt>
                <c:pt idx="61">
                  <c:v>Cuenta de Inversion</c:v>
                </c:pt>
                <c:pt idx="62">
                  <c:v>Universidad de los hijos</c:v>
                </c:pt>
                <c:pt idx="63">
                  <c:v>Fondo de Emergencia</c:v>
                </c:pt>
                <c:pt idx="64">
                  <c:v>Otros ahorros</c:v>
                </c:pt>
              </c:strCache>
            </c:strRef>
          </c:cat>
          <c:val>
            <c:numRef>
              <c:f>(Febrero!$C$15:$C$24,Febrero!$C$28:$C$34,Febrero!$C$38:$C$41,Febrero!$C$45:$C$47,Febrero!$C$51:$C$59,Febrero!$H$63:$H$65,Febrero!$H$54:$H$59,Febrero!$H$45:$H$50,Febrero!$H$37:$H$41,Febrero!$H$31:$H$33,Febrero!$H$21:$H$27,Febrero!$C$7:$C$11)</c:f>
              <c:numCache>
                <c:formatCode>_-[$RD$-1C0A]* #,##0.00_-;\-[$RD$-1C0A]* #,##0.00_-;_-[$RD$-1C0A]* "-"??_-;_-@_-</c:formatCode>
                <c:ptCount val="68"/>
                <c:pt idx="0">
                  <c:v>16000</c:v>
                </c:pt>
                <c:pt idx="1">
                  <c:v>0</c:v>
                </c:pt>
                <c:pt idx="2">
                  <c:v>0</c:v>
                </c:pt>
                <c:pt idx="3">
                  <c:v>200</c:v>
                </c:pt>
                <c:pt idx="4">
                  <c:v>100</c:v>
                </c:pt>
                <c:pt idx="5">
                  <c:v>0</c:v>
                </c:pt>
                <c:pt idx="6">
                  <c:v>1000</c:v>
                </c:pt>
                <c:pt idx="7">
                  <c:v>450</c:v>
                </c:pt>
                <c:pt idx="8">
                  <c:v>1800</c:v>
                </c:pt>
                <c:pt idx="9">
                  <c:v>500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500</c:v>
                </c:pt>
                <c:pt idx="19">
                  <c:v>0</c:v>
                </c:pt>
                <c:pt idx="20">
                  <c:v>0</c:v>
                </c:pt>
                <c:pt idx="21">
                  <c:v>2000</c:v>
                </c:pt>
                <c:pt idx="22">
                  <c:v>4000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44">
                  <c:v>1000</c:v>
                </c:pt>
                <c:pt idx="56">
                  <c:v>0</c:v>
                </c:pt>
                <c:pt idx="57">
                  <c:v>5000</c:v>
                </c:pt>
                <c:pt idx="58">
                  <c:v>700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3">
                  <c:v>5000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accent1">
        <a:lumMod val="60000"/>
        <a:lumOff val="40000"/>
      </a:schemeClr>
    </a:solidFill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>
                <a:effectLst/>
              </a:rPr>
              <a:t>Gastos por Categoria</a:t>
            </a:r>
            <a:endParaRPr lang="es-DO">
              <a:effectLst/>
            </a:endParaRP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invertIfNegative val="0"/>
          <c:cat>
            <c:strRef>
              <c:f>(Febrero!$B$6,Febrero!$B$14,Febrero!$B$27,Febrero!$B$37,Febrero!$B$44,Febrero!$B$50,Febrero!$G$62,Febrero!$G$53,Febrero!$G$44,Febrero!$G$36,Febrero!$G$30,Febrero!$G$20)</c:f>
              <c:strCache>
                <c:ptCount val="12"/>
                <c:pt idx="0">
                  <c:v>Ahorro/ Inversiones</c:v>
                </c:pt>
                <c:pt idx="1">
                  <c:v>Vivienda</c:v>
                </c:pt>
                <c:pt idx="2">
                  <c:v>Transporte</c:v>
                </c:pt>
                <c:pt idx="3">
                  <c:v>Seguros</c:v>
                </c:pt>
                <c:pt idx="4">
                  <c:v>Comida</c:v>
                </c:pt>
                <c:pt idx="5">
                  <c:v>Niños</c:v>
                </c:pt>
                <c:pt idx="6">
                  <c:v>Gastos Legales</c:v>
                </c:pt>
                <c:pt idx="7">
                  <c:v>Gastos Financieros/ Prestamos</c:v>
                </c:pt>
                <c:pt idx="8">
                  <c:v>Cuidado Personal</c:v>
                </c:pt>
                <c:pt idx="9">
                  <c:v>Mascotas</c:v>
                </c:pt>
                <c:pt idx="10">
                  <c:v>Regalos y Donaciones</c:v>
                </c:pt>
                <c:pt idx="11">
                  <c:v>Entretenimiento</c:v>
                </c:pt>
              </c:strCache>
            </c:strRef>
          </c:cat>
          <c:val>
            <c:numRef>
              <c:f>(Febrero!$D$12,Febrero!$D$25,Febrero!$D$35,Febrero!$D$42,Febrero!$D$48,Febrero!$D$60,Febrero!$I$66,Febrero!$I$60,Febrero!$I$51,Febrero!$I$42,Febrero!$I$34,Febrero!$I$28)</c:f>
              <c:numCache>
                <c:formatCode>_-[$RD$-1C0A]* #,##0.00_-;\-[$RD$-1C0A]* #,##0.00_-;_-[$RD$-1C0A]* "-"??_-;_-@_-</c:formatCode>
                <c:ptCount val="12"/>
                <c:pt idx="0">
                  <c:v>5000</c:v>
                </c:pt>
                <c:pt idx="1">
                  <c:v>19244</c:v>
                </c:pt>
                <c:pt idx="2">
                  <c:v>4000</c:v>
                </c:pt>
                <c:pt idx="3">
                  <c:v>500</c:v>
                </c:pt>
                <c:pt idx="4">
                  <c:v>5500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</c:v>
                </c:pt>
                <c:pt idx="9">
                  <c:v>0</c:v>
                </c:pt>
                <c:pt idx="10">
                  <c:v>0</c:v>
                </c:pt>
                <c:pt idx="11" formatCode="&quot;$&quot;#,##0_);[Red]\(&quot;$&quot;#,##0\)">
                  <c:v>5000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215075456"/>
        <c:axId val="7184768"/>
        <c:axId val="0"/>
      </c:bar3DChart>
      <c:catAx>
        <c:axId val="215075456"/>
        <c:scaling>
          <c:orientation val="minMax"/>
        </c:scaling>
        <c:delete val="0"/>
        <c:axPos val="l"/>
        <c:majorTickMark val="none"/>
        <c:minorTickMark val="none"/>
        <c:tickLblPos val="nextTo"/>
        <c:crossAx val="7184768"/>
        <c:crosses val="autoZero"/>
        <c:auto val="1"/>
        <c:lblAlgn val="ctr"/>
        <c:lblOffset val="100"/>
        <c:noMultiLvlLbl val="0"/>
      </c:catAx>
      <c:valAx>
        <c:axId val="7184768"/>
        <c:scaling>
          <c:orientation val="minMax"/>
        </c:scaling>
        <c:delete val="1"/>
        <c:axPos val="b"/>
        <c:numFmt formatCode="_-[$RD$-1C0A]* #,##0.00_-;\-[$RD$-1C0A]* #,##0.00_-;_-[$RD$-1C0A]* &quot;-&quot;??_-;_-@_-" sourceLinked="1"/>
        <c:majorTickMark val="out"/>
        <c:minorTickMark val="none"/>
        <c:tickLblPos val="nextTo"/>
        <c:crossAx val="2150754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cat>
            <c:strRef>
              <c:f>(Marzo!$B$15:$B$24,Marzo!$B$28:$B$34,Marzo!$B$38:$B$41,Marzo!$B$45:$B$47,Marzo!$B$51:$B$59,Marzo!$G$54:$G$59,Marzo!$G$45:$G$50,Marzo!$G$37:$G$41,Marzo!$G$31:$G$33,Marzo!$G$21:$G$27,Marzo!$B$7:$B$11)</c:f>
              <c:strCache>
                <c:ptCount val="65"/>
                <c:pt idx="0">
                  <c:v>Alquiler</c:v>
                </c:pt>
                <c:pt idx="1">
                  <c:v>Suministros</c:v>
                </c:pt>
                <c:pt idx="2">
                  <c:v>Otros gastos</c:v>
                </c:pt>
                <c:pt idx="3">
                  <c:v>Agua</c:v>
                </c:pt>
                <c:pt idx="4">
                  <c:v>Recogida de Basura</c:v>
                </c:pt>
                <c:pt idx="5">
                  <c:v>Mantenimiento o reparaciones</c:v>
                </c:pt>
                <c:pt idx="6">
                  <c:v>Gas</c:v>
                </c:pt>
                <c:pt idx="7">
                  <c:v>Cable</c:v>
                </c:pt>
                <c:pt idx="8">
                  <c:v>Telefono</c:v>
                </c:pt>
                <c:pt idx="9">
                  <c:v>Electricidad</c:v>
                </c:pt>
                <c:pt idx="10">
                  <c:v>Prestamo vehicular 1</c:v>
                </c:pt>
                <c:pt idx="11">
                  <c:v>Prestamo vehicular 2</c:v>
                </c:pt>
                <c:pt idx="12">
                  <c:v>Bus/Taxi/ Metro</c:v>
                </c:pt>
                <c:pt idx="13">
                  <c:v>Combustible</c:v>
                </c:pt>
                <c:pt idx="14">
                  <c:v>Seguro</c:v>
                </c:pt>
                <c:pt idx="15">
                  <c:v>Mantenimiento</c:v>
                </c:pt>
                <c:pt idx="16">
                  <c:v>Otros gastos</c:v>
                </c:pt>
                <c:pt idx="17">
                  <c:v>hogar</c:v>
                </c:pt>
                <c:pt idx="18">
                  <c:v>salud</c:v>
                </c:pt>
                <c:pt idx="19">
                  <c:v>vida</c:v>
                </c:pt>
                <c:pt idx="20">
                  <c:v>otro</c:v>
                </c:pt>
                <c:pt idx="21">
                  <c:v>supermercado</c:v>
                </c:pt>
                <c:pt idx="22">
                  <c:v>restaurantes</c:v>
                </c:pt>
                <c:pt idx="23">
                  <c:v>otros gastos</c:v>
                </c:pt>
                <c:pt idx="24">
                  <c:v>Gastos medicos</c:v>
                </c:pt>
                <c:pt idx="25">
                  <c:v>Vestimenta</c:v>
                </c:pt>
                <c:pt idx="26">
                  <c:v>Pago Escolar</c:v>
                </c:pt>
                <c:pt idx="27">
                  <c:v>Materiales Escolares</c:v>
                </c:pt>
                <c:pt idx="28">
                  <c:v>Organization dues or fees</c:v>
                </c:pt>
                <c:pt idx="29">
                  <c:v>Merienda o almuerzo</c:v>
                </c:pt>
                <c:pt idx="30">
                  <c:v>Cuidado de niño</c:v>
                </c:pt>
                <c:pt idx="31">
                  <c:v>Juegos/ Juguetes</c:v>
                </c:pt>
                <c:pt idx="32">
                  <c:v>Otros</c:v>
                </c:pt>
                <c:pt idx="33">
                  <c:v>Personal</c:v>
                </c:pt>
                <c:pt idx="34">
                  <c:v>Estudiantil</c:v>
                </c:pt>
                <c:pt idx="35">
                  <c:v>Tarjeta Credito 1</c:v>
                </c:pt>
                <c:pt idx="36">
                  <c:v>Tarjeta Credito 2</c:v>
                </c:pt>
                <c:pt idx="37">
                  <c:v>Tarjeta Credito 3</c:v>
                </c:pt>
                <c:pt idx="38">
                  <c:v>Otros</c:v>
                </c:pt>
                <c:pt idx="39">
                  <c:v>Medicos</c:v>
                </c:pt>
                <c:pt idx="40">
                  <c:v>Peluqueria/Salon</c:v>
                </c:pt>
                <c:pt idx="41">
                  <c:v>Vestimenta</c:v>
                </c:pt>
                <c:pt idx="42">
                  <c:v>Lavanderia</c:v>
                </c:pt>
                <c:pt idx="43">
                  <c:v>Gimnasio</c:v>
                </c:pt>
                <c:pt idx="44">
                  <c:v>Otros</c:v>
                </c:pt>
                <c:pt idx="45">
                  <c:v>alimento</c:v>
                </c:pt>
                <c:pt idx="46">
                  <c:v>gastos medicos</c:v>
                </c:pt>
                <c:pt idx="47">
                  <c:v>peluqueria</c:v>
                </c:pt>
                <c:pt idx="48">
                  <c:v>juguetes</c:v>
                </c:pt>
                <c:pt idx="49">
                  <c:v>otros gastos</c:v>
                </c:pt>
                <c:pt idx="50">
                  <c:v>fundacion 1</c:v>
                </c:pt>
                <c:pt idx="51">
                  <c:v>fundacion 2</c:v>
                </c:pt>
                <c:pt idx="52">
                  <c:v>fundacion 3</c:v>
                </c:pt>
                <c:pt idx="53">
                  <c:v> Alquiler Video/DVD</c:v>
                </c:pt>
                <c:pt idx="54">
                  <c:v>Eventos sociales</c:v>
                </c:pt>
                <c:pt idx="55">
                  <c:v>Cine</c:v>
                </c:pt>
                <c:pt idx="56">
                  <c:v>Conciertos</c:v>
                </c:pt>
                <c:pt idx="57">
                  <c:v>Eventos deportivos</c:v>
                </c:pt>
                <c:pt idx="58">
                  <c:v>Teatro</c:v>
                </c:pt>
                <c:pt idx="59">
                  <c:v>Otros</c:v>
                </c:pt>
                <c:pt idx="60">
                  <c:v>Plan de Retiro</c:v>
                </c:pt>
                <c:pt idx="61">
                  <c:v>Cuenta de Inversion</c:v>
                </c:pt>
                <c:pt idx="62">
                  <c:v>Universidad de los hijos</c:v>
                </c:pt>
                <c:pt idx="63">
                  <c:v>Fondo de Emergencia</c:v>
                </c:pt>
                <c:pt idx="64">
                  <c:v>Otros ahorros</c:v>
                </c:pt>
              </c:strCache>
            </c:strRef>
          </c:cat>
          <c:val>
            <c:numRef>
              <c:f>(Marzo!$C$15:$C$24,Marzo!$C$28:$C$34,Marzo!$C$38:$C$41,Marzo!$C$45:$C$47,Marzo!$C$51:$C$59,Marzo!$H$63:$H$65,Marzo!$H$54:$H$59,Marzo!$H$45:$H$50,Marzo!$H$37:$H$41,Marzo!$H$31:$H$33,Marzo!$H$21:$H$27,Marzo!$C$7:$C$11)</c:f>
              <c:numCache>
                <c:formatCode>_-[$RD$-1C0A]* #,##0.00_-;\-[$RD$-1C0A]* #,##0.00_-;_-[$RD$-1C0A]* "-"??_-;_-@_-</c:formatCode>
                <c:ptCount val="68"/>
                <c:pt idx="0">
                  <c:v>16000</c:v>
                </c:pt>
                <c:pt idx="1">
                  <c:v>0</c:v>
                </c:pt>
                <c:pt idx="2">
                  <c:v>0</c:v>
                </c:pt>
                <c:pt idx="3">
                  <c:v>200</c:v>
                </c:pt>
                <c:pt idx="4">
                  <c:v>100</c:v>
                </c:pt>
                <c:pt idx="5">
                  <c:v>0</c:v>
                </c:pt>
                <c:pt idx="6">
                  <c:v>1000</c:v>
                </c:pt>
                <c:pt idx="7">
                  <c:v>450</c:v>
                </c:pt>
                <c:pt idx="8">
                  <c:v>1800</c:v>
                </c:pt>
                <c:pt idx="9">
                  <c:v>500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500</c:v>
                </c:pt>
                <c:pt idx="19">
                  <c:v>0</c:v>
                </c:pt>
                <c:pt idx="20">
                  <c:v>0</c:v>
                </c:pt>
                <c:pt idx="21">
                  <c:v>2000</c:v>
                </c:pt>
                <c:pt idx="22">
                  <c:v>4000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44">
                  <c:v>1000</c:v>
                </c:pt>
                <c:pt idx="56">
                  <c:v>0</c:v>
                </c:pt>
                <c:pt idx="57">
                  <c:v>5000</c:v>
                </c:pt>
                <c:pt idx="58">
                  <c:v>700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3">
                  <c:v>5000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accent1">
        <a:lumMod val="60000"/>
        <a:lumOff val="40000"/>
      </a:schemeClr>
    </a:solidFill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>
                <a:effectLst/>
              </a:rPr>
              <a:t>Gastos por Categoria</a:t>
            </a:r>
            <a:endParaRPr lang="es-DO">
              <a:effectLst/>
            </a:endParaRP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invertIfNegative val="0"/>
          <c:cat>
            <c:strRef>
              <c:f>(Marzo!$B$6,Marzo!$B$14,Marzo!$B$27,Marzo!$B$37,Marzo!$B$44,Marzo!$B$50,Marzo!$G$62,Marzo!$G$53,Marzo!$G$44,Marzo!$G$36,Marzo!$G$30,Marzo!$G$20)</c:f>
              <c:strCache>
                <c:ptCount val="12"/>
                <c:pt idx="0">
                  <c:v>Ahorro/ Inversiones</c:v>
                </c:pt>
                <c:pt idx="1">
                  <c:v>Vivienda</c:v>
                </c:pt>
                <c:pt idx="2">
                  <c:v>Transporte</c:v>
                </c:pt>
                <c:pt idx="3">
                  <c:v>Seguros</c:v>
                </c:pt>
                <c:pt idx="4">
                  <c:v>Comida</c:v>
                </c:pt>
                <c:pt idx="5">
                  <c:v>Niños</c:v>
                </c:pt>
                <c:pt idx="6">
                  <c:v>Gastos Legales</c:v>
                </c:pt>
                <c:pt idx="7">
                  <c:v>Gastos Financieros/ Prestamos</c:v>
                </c:pt>
                <c:pt idx="8">
                  <c:v>Cuidado Personal</c:v>
                </c:pt>
                <c:pt idx="9">
                  <c:v>Mascotas</c:v>
                </c:pt>
                <c:pt idx="10">
                  <c:v>Regalos y Donaciones</c:v>
                </c:pt>
                <c:pt idx="11">
                  <c:v>Entretenimiento</c:v>
                </c:pt>
              </c:strCache>
            </c:strRef>
          </c:cat>
          <c:val>
            <c:numRef>
              <c:f>(Marzo!$D$12,Marzo!$D$25,Marzo!$D$35,Marzo!$D$42,Marzo!$D$48,Marzo!$D$60,Marzo!$I$66,Marzo!$I$60,Marzo!$I$51,Marzo!$I$42,Marzo!$I$34,Marzo!$I$28)</c:f>
              <c:numCache>
                <c:formatCode>_-[$RD$-1C0A]* #,##0.00_-;\-[$RD$-1C0A]* #,##0.00_-;_-[$RD$-1C0A]* "-"??_-;_-@_-</c:formatCode>
                <c:ptCount val="12"/>
                <c:pt idx="0">
                  <c:v>5000</c:v>
                </c:pt>
                <c:pt idx="1">
                  <c:v>19244</c:v>
                </c:pt>
                <c:pt idx="2">
                  <c:v>4000</c:v>
                </c:pt>
                <c:pt idx="3">
                  <c:v>500</c:v>
                </c:pt>
                <c:pt idx="4">
                  <c:v>5500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</c:v>
                </c:pt>
                <c:pt idx="9">
                  <c:v>0</c:v>
                </c:pt>
                <c:pt idx="10">
                  <c:v>0</c:v>
                </c:pt>
                <c:pt idx="11" formatCode="&quot;$&quot;#,##0_);[Red]\(&quot;$&quot;#,##0\)">
                  <c:v>5000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88546688"/>
        <c:axId val="88638592"/>
        <c:axId val="0"/>
      </c:bar3DChart>
      <c:catAx>
        <c:axId val="88546688"/>
        <c:scaling>
          <c:orientation val="minMax"/>
        </c:scaling>
        <c:delete val="0"/>
        <c:axPos val="l"/>
        <c:majorTickMark val="none"/>
        <c:minorTickMark val="none"/>
        <c:tickLblPos val="nextTo"/>
        <c:crossAx val="88638592"/>
        <c:crosses val="autoZero"/>
        <c:auto val="1"/>
        <c:lblAlgn val="ctr"/>
        <c:lblOffset val="100"/>
        <c:noMultiLvlLbl val="0"/>
      </c:catAx>
      <c:valAx>
        <c:axId val="88638592"/>
        <c:scaling>
          <c:orientation val="minMax"/>
        </c:scaling>
        <c:delete val="1"/>
        <c:axPos val="b"/>
        <c:numFmt formatCode="_-[$RD$-1C0A]* #,##0.00_-;\-[$RD$-1C0A]* #,##0.00_-;_-[$RD$-1C0A]* &quot;-&quot;??_-;_-@_-" sourceLinked="1"/>
        <c:majorTickMark val="out"/>
        <c:minorTickMark val="none"/>
        <c:tickLblPos val="nextTo"/>
        <c:crossAx val="885466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cat>
            <c:strRef>
              <c:f>(Abril!$B$15:$B$24,Abril!$B$28:$B$34,Abril!$B$38:$B$41,Abril!$B$45:$B$47,Abril!$B$51:$B$59,Abril!$G$54:$G$59,Abril!$G$45:$G$50,Abril!$G$37:$G$41,Abril!$G$31:$G$33,Abril!$G$21:$G$27,Abril!$B$7:$B$11)</c:f>
              <c:strCache>
                <c:ptCount val="65"/>
                <c:pt idx="0">
                  <c:v>Alquiler</c:v>
                </c:pt>
                <c:pt idx="1">
                  <c:v>Suministros</c:v>
                </c:pt>
                <c:pt idx="2">
                  <c:v>Otros gastos</c:v>
                </c:pt>
                <c:pt idx="3">
                  <c:v>Agua</c:v>
                </c:pt>
                <c:pt idx="4">
                  <c:v>Recogida de Basura</c:v>
                </c:pt>
                <c:pt idx="5">
                  <c:v>Mantenimiento o reparaciones</c:v>
                </c:pt>
                <c:pt idx="6">
                  <c:v>Gas</c:v>
                </c:pt>
                <c:pt idx="7">
                  <c:v>Cable</c:v>
                </c:pt>
                <c:pt idx="8">
                  <c:v>Telefono</c:v>
                </c:pt>
                <c:pt idx="9">
                  <c:v>Electricidad</c:v>
                </c:pt>
                <c:pt idx="10">
                  <c:v>Prestamo vehicular 1</c:v>
                </c:pt>
                <c:pt idx="11">
                  <c:v>Prestamo vehicular 2</c:v>
                </c:pt>
                <c:pt idx="12">
                  <c:v>Bus/Taxi/ Metro</c:v>
                </c:pt>
                <c:pt idx="13">
                  <c:v>Combustible</c:v>
                </c:pt>
                <c:pt idx="14">
                  <c:v>Seguro</c:v>
                </c:pt>
                <c:pt idx="15">
                  <c:v>Mantenimiento</c:v>
                </c:pt>
                <c:pt idx="16">
                  <c:v>Otros gastos</c:v>
                </c:pt>
                <c:pt idx="17">
                  <c:v>hogar</c:v>
                </c:pt>
                <c:pt idx="18">
                  <c:v>salud</c:v>
                </c:pt>
                <c:pt idx="19">
                  <c:v>vida</c:v>
                </c:pt>
                <c:pt idx="20">
                  <c:v>otro</c:v>
                </c:pt>
                <c:pt idx="21">
                  <c:v>supermercado</c:v>
                </c:pt>
                <c:pt idx="22">
                  <c:v>restaurantes</c:v>
                </c:pt>
                <c:pt idx="23">
                  <c:v>otros gastos</c:v>
                </c:pt>
                <c:pt idx="24">
                  <c:v>Gastos medicos</c:v>
                </c:pt>
                <c:pt idx="25">
                  <c:v>Vestimenta</c:v>
                </c:pt>
                <c:pt idx="26">
                  <c:v>Pago Escolar</c:v>
                </c:pt>
                <c:pt idx="27">
                  <c:v>Materiales Escolares</c:v>
                </c:pt>
                <c:pt idx="28">
                  <c:v>Organization dues or fees</c:v>
                </c:pt>
                <c:pt idx="29">
                  <c:v>Merienda o almuerzo</c:v>
                </c:pt>
                <c:pt idx="30">
                  <c:v>Cuidado de niño</c:v>
                </c:pt>
                <c:pt idx="31">
                  <c:v>Juegos/ Juguetes</c:v>
                </c:pt>
                <c:pt idx="32">
                  <c:v>Otros</c:v>
                </c:pt>
                <c:pt idx="33">
                  <c:v>Personal</c:v>
                </c:pt>
                <c:pt idx="34">
                  <c:v>Estudiantil</c:v>
                </c:pt>
                <c:pt idx="35">
                  <c:v>Tarjeta Credito 1</c:v>
                </c:pt>
                <c:pt idx="36">
                  <c:v>Tarjeta Credito 2</c:v>
                </c:pt>
                <c:pt idx="37">
                  <c:v>Tarjeta Credito 3</c:v>
                </c:pt>
                <c:pt idx="38">
                  <c:v>Otros</c:v>
                </c:pt>
                <c:pt idx="39">
                  <c:v>Medicos</c:v>
                </c:pt>
                <c:pt idx="40">
                  <c:v>Peluqueria/Salon</c:v>
                </c:pt>
                <c:pt idx="41">
                  <c:v>Vestimenta</c:v>
                </c:pt>
                <c:pt idx="42">
                  <c:v>Lavanderia</c:v>
                </c:pt>
                <c:pt idx="43">
                  <c:v>Gimnasio</c:v>
                </c:pt>
                <c:pt idx="44">
                  <c:v>Otros</c:v>
                </c:pt>
                <c:pt idx="45">
                  <c:v>alimento</c:v>
                </c:pt>
                <c:pt idx="46">
                  <c:v>gastos medicos</c:v>
                </c:pt>
                <c:pt idx="47">
                  <c:v>peluqueria</c:v>
                </c:pt>
                <c:pt idx="48">
                  <c:v>juguetes</c:v>
                </c:pt>
                <c:pt idx="49">
                  <c:v>otros gastos</c:v>
                </c:pt>
                <c:pt idx="50">
                  <c:v>fundacion 1</c:v>
                </c:pt>
                <c:pt idx="51">
                  <c:v>fundacion 2</c:v>
                </c:pt>
                <c:pt idx="52">
                  <c:v>fundacion 3</c:v>
                </c:pt>
                <c:pt idx="53">
                  <c:v> Alquiler Video/DVD</c:v>
                </c:pt>
                <c:pt idx="54">
                  <c:v>Eventos sociales</c:v>
                </c:pt>
                <c:pt idx="55">
                  <c:v>Cine</c:v>
                </c:pt>
                <c:pt idx="56">
                  <c:v>Conciertos</c:v>
                </c:pt>
                <c:pt idx="57">
                  <c:v>Eventos deportivos</c:v>
                </c:pt>
                <c:pt idx="58">
                  <c:v>Teatro</c:v>
                </c:pt>
                <c:pt idx="59">
                  <c:v>Otros</c:v>
                </c:pt>
                <c:pt idx="60">
                  <c:v>Plan de Retiro</c:v>
                </c:pt>
                <c:pt idx="61">
                  <c:v>Cuenta de Inversion</c:v>
                </c:pt>
                <c:pt idx="62">
                  <c:v>Universidad de los hijos</c:v>
                </c:pt>
                <c:pt idx="63">
                  <c:v>Fondo de Emergencia</c:v>
                </c:pt>
                <c:pt idx="64">
                  <c:v>Otros ahorros</c:v>
                </c:pt>
              </c:strCache>
            </c:strRef>
          </c:cat>
          <c:val>
            <c:numRef>
              <c:f>(Abril!$C$15:$C$24,Abril!$C$28:$C$34,Abril!$C$38:$C$41,Abril!$C$45:$C$47,Abril!$C$51:$C$59,Abril!$H$63:$H$65,Abril!$H$54:$H$59,Abril!$H$45:$H$50,Abril!$H$37:$H$41,Abril!$H$31:$H$33,Abril!$H$21:$H$27,Abril!$C$7:$C$11)</c:f>
              <c:numCache>
                <c:formatCode>_-[$RD$-1C0A]* #,##0.00_-;\-[$RD$-1C0A]* #,##0.00_-;_-[$RD$-1C0A]* "-"??_-;_-@_-</c:formatCode>
                <c:ptCount val="68"/>
                <c:pt idx="0">
                  <c:v>16000</c:v>
                </c:pt>
                <c:pt idx="1">
                  <c:v>0</c:v>
                </c:pt>
                <c:pt idx="2">
                  <c:v>0</c:v>
                </c:pt>
                <c:pt idx="3">
                  <c:v>200</c:v>
                </c:pt>
                <c:pt idx="4">
                  <c:v>100</c:v>
                </c:pt>
                <c:pt idx="5">
                  <c:v>0</c:v>
                </c:pt>
                <c:pt idx="6">
                  <c:v>1000</c:v>
                </c:pt>
                <c:pt idx="7">
                  <c:v>450</c:v>
                </c:pt>
                <c:pt idx="8">
                  <c:v>1800</c:v>
                </c:pt>
                <c:pt idx="9">
                  <c:v>500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500</c:v>
                </c:pt>
                <c:pt idx="19">
                  <c:v>0</c:v>
                </c:pt>
                <c:pt idx="20">
                  <c:v>0</c:v>
                </c:pt>
                <c:pt idx="21">
                  <c:v>2000</c:v>
                </c:pt>
                <c:pt idx="22">
                  <c:v>4000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44">
                  <c:v>1000</c:v>
                </c:pt>
                <c:pt idx="56">
                  <c:v>0</c:v>
                </c:pt>
                <c:pt idx="57">
                  <c:v>5000</c:v>
                </c:pt>
                <c:pt idx="58">
                  <c:v>700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3">
                  <c:v>5000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accent1">
        <a:lumMod val="60000"/>
        <a:lumOff val="40000"/>
      </a:schemeClr>
    </a:solidFill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>
                <a:effectLst/>
              </a:rPr>
              <a:t>Gastos por Categoria</a:t>
            </a:r>
            <a:endParaRPr lang="es-DO">
              <a:effectLst/>
            </a:endParaRP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invertIfNegative val="0"/>
          <c:cat>
            <c:strRef>
              <c:f>(Abril!$B$6,Abril!$B$14,Abril!$B$27,Abril!$B$37,Abril!$B$44,Abril!$B$50,Abril!$G$62,Abril!$G$53,Abril!$G$44,Abril!$G$36,Abril!$G$30,Abril!$G$20)</c:f>
              <c:strCache>
                <c:ptCount val="12"/>
                <c:pt idx="0">
                  <c:v>Ahorro/ Inversiones</c:v>
                </c:pt>
                <c:pt idx="1">
                  <c:v>Vivienda</c:v>
                </c:pt>
                <c:pt idx="2">
                  <c:v>Transporte</c:v>
                </c:pt>
                <c:pt idx="3">
                  <c:v>Seguros</c:v>
                </c:pt>
                <c:pt idx="4">
                  <c:v>Comida</c:v>
                </c:pt>
                <c:pt idx="5">
                  <c:v>Niños</c:v>
                </c:pt>
                <c:pt idx="6">
                  <c:v>Gastos Legales</c:v>
                </c:pt>
                <c:pt idx="7">
                  <c:v>Gastos Financieros/ Prestamos</c:v>
                </c:pt>
                <c:pt idx="8">
                  <c:v>Cuidado Personal</c:v>
                </c:pt>
                <c:pt idx="9">
                  <c:v>Mascotas</c:v>
                </c:pt>
                <c:pt idx="10">
                  <c:v>Regalos y Donaciones</c:v>
                </c:pt>
                <c:pt idx="11">
                  <c:v>Entretenimiento</c:v>
                </c:pt>
              </c:strCache>
            </c:strRef>
          </c:cat>
          <c:val>
            <c:numRef>
              <c:f>(Abril!$D$12,Abril!$D$25,Abril!$D$35,Abril!$D$42,Abril!$D$48,Abril!$D$60,Abril!$I$66,Abril!$I$60,Abril!$I$51,Abril!$I$42,Abril!$I$34,Abril!$I$28)</c:f>
              <c:numCache>
                <c:formatCode>_-[$RD$-1C0A]* #,##0.00_-;\-[$RD$-1C0A]* #,##0.00_-;_-[$RD$-1C0A]* "-"??_-;_-@_-</c:formatCode>
                <c:ptCount val="12"/>
                <c:pt idx="0">
                  <c:v>5000</c:v>
                </c:pt>
                <c:pt idx="1">
                  <c:v>19244</c:v>
                </c:pt>
                <c:pt idx="2">
                  <c:v>4000</c:v>
                </c:pt>
                <c:pt idx="3">
                  <c:v>500</c:v>
                </c:pt>
                <c:pt idx="4">
                  <c:v>5500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</c:v>
                </c:pt>
                <c:pt idx="9">
                  <c:v>0</c:v>
                </c:pt>
                <c:pt idx="10">
                  <c:v>0</c:v>
                </c:pt>
                <c:pt idx="11" formatCode="&quot;$&quot;#,##0_);[Red]\(&quot;$&quot;#,##0\)">
                  <c:v>5000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71873664"/>
        <c:axId val="71875200"/>
        <c:axId val="0"/>
      </c:bar3DChart>
      <c:catAx>
        <c:axId val="71873664"/>
        <c:scaling>
          <c:orientation val="minMax"/>
        </c:scaling>
        <c:delete val="0"/>
        <c:axPos val="l"/>
        <c:majorTickMark val="none"/>
        <c:minorTickMark val="none"/>
        <c:tickLblPos val="nextTo"/>
        <c:crossAx val="71875200"/>
        <c:crosses val="autoZero"/>
        <c:auto val="1"/>
        <c:lblAlgn val="ctr"/>
        <c:lblOffset val="100"/>
        <c:noMultiLvlLbl val="0"/>
      </c:catAx>
      <c:valAx>
        <c:axId val="71875200"/>
        <c:scaling>
          <c:orientation val="minMax"/>
        </c:scaling>
        <c:delete val="1"/>
        <c:axPos val="b"/>
        <c:numFmt formatCode="_-[$RD$-1C0A]* #,##0.00_-;\-[$RD$-1C0A]* #,##0.00_-;_-[$RD$-1C0A]* &quot;-&quot;??_-;_-@_-" sourceLinked="1"/>
        <c:majorTickMark val="out"/>
        <c:minorTickMark val="none"/>
        <c:tickLblPos val="nextTo"/>
        <c:crossAx val="71873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cat>
            <c:strRef>
              <c:f>(Mayo!$B$15:$B$24,Mayo!$B$28:$B$34,Mayo!$B$38:$B$41,Mayo!$B$45:$B$47,Mayo!$B$51:$B$59,Mayo!$G$54:$G$59,Mayo!$G$45:$G$50,Mayo!$G$37:$G$41,Mayo!$G$31:$G$33,Mayo!$G$21:$G$27,Mayo!$B$7:$B$11)</c:f>
              <c:strCache>
                <c:ptCount val="65"/>
                <c:pt idx="0">
                  <c:v>Alquiler</c:v>
                </c:pt>
                <c:pt idx="1">
                  <c:v>Suministros</c:v>
                </c:pt>
                <c:pt idx="2">
                  <c:v>Otros gastos</c:v>
                </c:pt>
                <c:pt idx="3">
                  <c:v>Agua</c:v>
                </c:pt>
                <c:pt idx="4">
                  <c:v>Recogida de Basura</c:v>
                </c:pt>
                <c:pt idx="5">
                  <c:v>Mantenimiento o reparaciones</c:v>
                </c:pt>
                <c:pt idx="6">
                  <c:v>Gas</c:v>
                </c:pt>
                <c:pt idx="7">
                  <c:v>Cable</c:v>
                </c:pt>
                <c:pt idx="8">
                  <c:v>Telefono</c:v>
                </c:pt>
                <c:pt idx="9">
                  <c:v>Electricidad</c:v>
                </c:pt>
                <c:pt idx="10">
                  <c:v>Prestamo vehicular 1</c:v>
                </c:pt>
                <c:pt idx="11">
                  <c:v>Prestamo vehicular 2</c:v>
                </c:pt>
                <c:pt idx="12">
                  <c:v>Bus/Taxi/ Metro</c:v>
                </c:pt>
                <c:pt idx="13">
                  <c:v>Combustible</c:v>
                </c:pt>
                <c:pt idx="14">
                  <c:v>Seguro</c:v>
                </c:pt>
                <c:pt idx="15">
                  <c:v>Mantenimiento</c:v>
                </c:pt>
                <c:pt idx="16">
                  <c:v>Otros gastos</c:v>
                </c:pt>
                <c:pt idx="17">
                  <c:v>hogar</c:v>
                </c:pt>
                <c:pt idx="18">
                  <c:v>salud</c:v>
                </c:pt>
                <c:pt idx="19">
                  <c:v>vida</c:v>
                </c:pt>
                <c:pt idx="20">
                  <c:v>otro</c:v>
                </c:pt>
                <c:pt idx="21">
                  <c:v>supermercado</c:v>
                </c:pt>
                <c:pt idx="22">
                  <c:v>restaurantes</c:v>
                </c:pt>
                <c:pt idx="23">
                  <c:v>otros gastos</c:v>
                </c:pt>
                <c:pt idx="24">
                  <c:v>Gastos medicos</c:v>
                </c:pt>
                <c:pt idx="25">
                  <c:v>Vestimenta</c:v>
                </c:pt>
                <c:pt idx="26">
                  <c:v>Pago Escolar</c:v>
                </c:pt>
                <c:pt idx="27">
                  <c:v>Materiales Escolares</c:v>
                </c:pt>
                <c:pt idx="28">
                  <c:v>Organization dues or fees</c:v>
                </c:pt>
                <c:pt idx="29">
                  <c:v>Merienda o almuerzo</c:v>
                </c:pt>
                <c:pt idx="30">
                  <c:v>Cuidado de niño</c:v>
                </c:pt>
                <c:pt idx="31">
                  <c:v>Juegos/ Juguetes</c:v>
                </c:pt>
                <c:pt idx="32">
                  <c:v>Otros</c:v>
                </c:pt>
                <c:pt idx="33">
                  <c:v>Personal</c:v>
                </c:pt>
                <c:pt idx="34">
                  <c:v>Estudiantil</c:v>
                </c:pt>
                <c:pt idx="35">
                  <c:v>Tarjeta Credito 1</c:v>
                </c:pt>
                <c:pt idx="36">
                  <c:v>Tarjeta Credito 2</c:v>
                </c:pt>
                <c:pt idx="37">
                  <c:v>Tarjeta Credito 3</c:v>
                </c:pt>
                <c:pt idx="38">
                  <c:v>Otros</c:v>
                </c:pt>
                <c:pt idx="39">
                  <c:v>Medicos</c:v>
                </c:pt>
                <c:pt idx="40">
                  <c:v>Peluqueria/Salon</c:v>
                </c:pt>
                <c:pt idx="41">
                  <c:v>Vestimenta</c:v>
                </c:pt>
                <c:pt idx="42">
                  <c:v>Lavanderia</c:v>
                </c:pt>
                <c:pt idx="43">
                  <c:v>Gimnasio</c:v>
                </c:pt>
                <c:pt idx="44">
                  <c:v>Otros</c:v>
                </c:pt>
                <c:pt idx="45">
                  <c:v>alimento</c:v>
                </c:pt>
                <c:pt idx="46">
                  <c:v>gastos medicos</c:v>
                </c:pt>
                <c:pt idx="47">
                  <c:v>peluqueria</c:v>
                </c:pt>
                <c:pt idx="48">
                  <c:v>juguetes</c:v>
                </c:pt>
                <c:pt idx="49">
                  <c:v>otros gastos</c:v>
                </c:pt>
                <c:pt idx="50">
                  <c:v>fundacion 1</c:v>
                </c:pt>
                <c:pt idx="51">
                  <c:v>fundacion 2</c:v>
                </c:pt>
                <c:pt idx="52">
                  <c:v>fundacion 3</c:v>
                </c:pt>
                <c:pt idx="53">
                  <c:v> Alquiler Video/DVD</c:v>
                </c:pt>
                <c:pt idx="54">
                  <c:v>Eventos sociales</c:v>
                </c:pt>
                <c:pt idx="55">
                  <c:v>Cine</c:v>
                </c:pt>
                <c:pt idx="56">
                  <c:v>Conciertos</c:v>
                </c:pt>
                <c:pt idx="57">
                  <c:v>Eventos deportivos</c:v>
                </c:pt>
                <c:pt idx="58">
                  <c:v>Teatro</c:v>
                </c:pt>
                <c:pt idx="59">
                  <c:v>Otros</c:v>
                </c:pt>
                <c:pt idx="60">
                  <c:v>Plan de Retiro</c:v>
                </c:pt>
                <c:pt idx="61">
                  <c:v>Cuenta de Inversion</c:v>
                </c:pt>
                <c:pt idx="62">
                  <c:v>Universidad de los hijos</c:v>
                </c:pt>
                <c:pt idx="63">
                  <c:v>Fondo de Emergencia</c:v>
                </c:pt>
                <c:pt idx="64">
                  <c:v>Otros ahorros</c:v>
                </c:pt>
              </c:strCache>
            </c:strRef>
          </c:cat>
          <c:val>
            <c:numRef>
              <c:f>(Mayo!$C$15:$C$24,Mayo!$C$28:$C$34,Mayo!$C$38:$C$41,Mayo!$C$45:$C$47,Mayo!$C$51:$C$59,Mayo!$H$63:$H$65,Mayo!$H$54:$H$59,Mayo!$H$45:$H$50,Mayo!$H$37:$H$41,Mayo!$H$31:$H$33,Mayo!$H$21:$H$27,Mayo!$C$7:$C$11)</c:f>
              <c:numCache>
                <c:formatCode>_-[$RD$-1C0A]* #,##0.00_-;\-[$RD$-1C0A]* #,##0.00_-;_-[$RD$-1C0A]* "-"??_-;_-@_-</c:formatCode>
                <c:ptCount val="68"/>
                <c:pt idx="0">
                  <c:v>16000</c:v>
                </c:pt>
                <c:pt idx="1">
                  <c:v>0</c:v>
                </c:pt>
                <c:pt idx="2">
                  <c:v>0</c:v>
                </c:pt>
                <c:pt idx="3">
                  <c:v>200</c:v>
                </c:pt>
                <c:pt idx="4">
                  <c:v>100</c:v>
                </c:pt>
                <c:pt idx="5">
                  <c:v>0</c:v>
                </c:pt>
                <c:pt idx="6">
                  <c:v>1000</c:v>
                </c:pt>
                <c:pt idx="7">
                  <c:v>450</c:v>
                </c:pt>
                <c:pt idx="8">
                  <c:v>1800</c:v>
                </c:pt>
                <c:pt idx="9">
                  <c:v>500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500</c:v>
                </c:pt>
                <c:pt idx="19">
                  <c:v>0</c:v>
                </c:pt>
                <c:pt idx="20">
                  <c:v>0</c:v>
                </c:pt>
                <c:pt idx="21">
                  <c:v>2000</c:v>
                </c:pt>
                <c:pt idx="22">
                  <c:v>4000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44">
                  <c:v>1000</c:v>
                </c:pt>
                <c:pt idx="56">
                  <c:v>0</c:v>
                </c:pt>
                <c:pt idx="57">
                  <c:v>5000</c:v>
                </c:pt>
                <c:pt idx="58">
                  <c:v>700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3">
                  <c:v>5000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accent1">
        <a:lumMod val="60000"/>
        <a:lumOff val="40000"/>
      </a:schemeClr>
    </a:solidFill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9524</xdr:colOff>
      <xdr:row>0</xdr:row>
      <xdr:rowOff>511753</xdr:rowOff>
    </xdr:from>
    <xdr:ext cx="6905626" cy="297872"/>
    <xdr:sp macro="" textlink="">
      <xdr:nvSpPr>
        <xdr:cNvPr id="2" name="Rectangle 1"/>
        <xdr:cNvSpPr/>
      </xdr:nvSpPr>
      <xdr:spPr>
        <a:xfrm>
          <a:off x="1504949" y="511753"/>
          <a:ext cx="6905626" cy="297872"/>
        </a:xfrm>
        <a:prstGeom prst="rect">
          <a:avLst/>
        </a:prstGeom>
        <a:noFill/>
      </xdr:spPr>
      <xdr:txBody>
        <a:bodyPr wrap="square" lIns="91440" tIns="45720" rIns="91440" bIns="45720" anchor="ctr" anchorCtr="0">
          <a:noAutofit/>
        </a:bodyPr>
        <a:lstStyle/>
        <a:p>
          <a:pPr algn="l"/>
          <a:r>
            <a:rPr lang="en-US" sz="2700" b="1" cap="none" spc="0" baseline="0">
              <a:ln w="9525" cmpd="sng">
                <a:solidFill>
                  <a:srgbClr val="FFFFFF"/>
                </a:solidFill>
                <a:prstDash val="solid"/>
                <a:miter lim="800000"/>
              </a:ln>
              <a:solidFill>
                <a:schemeClr val="accent2">
                  <a:lumMod val="75000"/>
                </a:schemeClr>
              </a:solidFill>
              <a:effectLst/>
              <a:latin typeface="+mj-lt"/>
              <a:ea typeface="Tahoma" pitchFamily="34" charset="0"/>
              <a:cs typeface="Tahoma" pitchFamily="34" charset="0"/>
            </a:rPr>
            <a:t>Presupuesto Mensual del Hogar- Enero</a:t>
          </a:r>
        </a:p>
      </xdr:txBody>
    </xdr:sp>
    <xdr:clientData/>
  </xdr:oneCellAnchor>
  <xdr:twoCellAnchor>
    <xdr:from>
      <xdr:col>2</xdr:col>
      <xdr:colOff>57150</xdr:colOff>
      <xdr:row>1</xdr:row>
      <xdr:rowOff>57150</xdr:rowOff>
    </xdr:from>
    <xdr:to>
      <xdr:col>10</xdr:col>
      <xdr:colOff>38100</xdr:colOff>
      <xdr:row>1</xdr:row>
      <xdr:rowOff>65665</xdr:rowOff>
    </xdr:to>
    <xdr:cxnSp macro="">
      <xdr:nvCxnSpPr>
        <xdr:cNvPr id="3" name="Straight Connector 2"/>
        <xdr:cNvCxnSpPr/>
      </xdr:nvCxnSpPr>
      <xdr:spPr>
        <a:xfrm>
          <a:off x="1552575" y="847725"/>
          <a:ext cx="6858000" cy="8515"/>
        </a:xfrm>
        <a:prstGeom prst="line">
          <a:avLst/>
        </a:prstGeom>
        <a:ln w="12700">
          <a:solidFill>
            <a:schemeClr val="accent1">
              <a:lumMod val="50000"/>
            </a:schemeClr>
          </a:solidFill>
        </a:ln>
        <a:effec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133348</xdr:colOff>
      <xdr:row>2</xdr:row>
      <xdr:rowOff>2384</xdr:rowOff>
    </xdr:from>
    <xdr:to>
      <xdr:col>15</xdr:col>
      <xdr:colOff>204786</xdr:colOff>
      <xdr:row>18</xdr:row>
      <xdr:rowOff>85726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8</xdr:col>
      <xdr:colOff>272141</xdr:colOff>
      <xdr:row>2</xdr:row>
      <xdr:rowOff>167367</xdr:rowOff>
    </xdr:from>
    <xdr:ext cx="2843893" cy="383118"/>
    <xdr:sp macro="" textlink="">
      <xdr:nvSpPr>
        <xdr:cNvPr id="5" name="TextBox 4"/>
        <xdr:cNvSpPr txBox="1"/>
      </xdr:nvSpPr>
      <xdr:spPr>
        <a:xfrm>
          <a:off x="7120616" y="1196067"/>
          <a:ext cx="2843893" cy="38311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pPr algn="l"/>
          <a:r>
            <a:rPr lang="en-US" sz="2000">
              <a:solidFill>
                <a:schemeClr val="accent1">
                  <a:lumMod val="50000"/>
                </a:schemeClr>
              </a:solidFill>
              <a:latin typeface="Franklin Gothic Demi" pitchFamily="34" charset="0"/>
            </a:rPr>
            <a:t>Gastos Mensuales</a:t>
          </a:r>
        </a:p>
      </xdr:txBody>
    </xdr:sp>
    <xdr:clientData/>
  </xdr:oneCellAnchor>
  <xdr:twoCellAnchor>
    <xdr:from>
      <xdr:col>10</xdr:col>
      <xdr:colOff>266699</xdr:colOff>
      <xdr:row>19</xdr:row>
      <xdr:rowOff>476250</xdr:rowOff>
    </xdr:from>
    <xdr:to>
      <xdr:col>19</xdr:col>
      <xdr:colOff>409574</xdr:colOff>
      <xdr:row>34</xdr:row>
      <xdr:rowOff>85725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200025</xdr:colOff>
      <xdr:row>0</xdr:row>
      <xdr:rowOff>28576</xdr:rowOff>
    </xdr:from>
    <xdr:to>
      <xdr:col>1</xdr:col>
      <xdr:colOff>1057275</xdr:colOff>
      <xdr:row>1</xdr:row>
      <xdr:rowOff>158029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28576"/>
          <a:ext cx="1190625" cy="92002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9524</xdr:colOff>
      <xdr:row>0</xdr:row>
      <xdr:rowOff>511753</xdr:rowOff>
    </xdr:from>
    <xdr:ext cx="6705601" cy="297872"/>
    <xdr:sp macro="" textlink="">
      <xdr:nvSpPr>
        <xdr:cNvPr id="2" name="Rectangle 1"/>
        <xdr:cNvSpPr/>
      </xdr:nvSpPr>
      <xdr:spPr>
        <a:xfrm>
          <a:off x="1504949" y="511753"/>
          <a:ext cx="6705601" cy="297872"/>
        </a:xfrm>
        <a:prstGeom prst="rect">
          <a:avLst/>
        </a:prstGeom>
        <a:noFill/>
      </xdr:spPr>
      <xdr:txBody>
        <a:bodyPr wrap="square" lIns="91440" tIns="45720" rIns="91440" bIns="45720" anchor="ctr" anchorCtr="0">
          <a:noAutofit/>
        </a:bodyPr>
        <a:lstStyle/>
        <a:p>
          <a:pPr algn="l"/>
          <a:r>
            <a:rPr lang="en-US" sz="2700" b="1" cap="none" spc="0" baseline="0">
              <a:ln w="9525" cmpd="sng">
                <a:solidFill>
                  <a:srgbClr val="FFFFFF"/>
                </a:solidFill>
                <a:prstDash val="solid"/>
                <a:miter lim="800000"/>
              </a:ln>
              <a:solidFill>
                <a:schemeClr val="accent2">
                  <a:lumMod val="75000"/>
                </a:schemeClr>
              </a:solidFill>
              <a:effectLst/>
              <a:latin typeface="+mj-lt"/>
              <a:ea typeface="Tahoma" pitchFamily="34" charset="0"/>
              <a:cs typeface="Tahoma" pitchFamily="34" charset="0"/>
            </a:rPr>
            <a:t>Presupuesto Mensual del Hogar- Octubre</a:t>
          </a:r>
        </a:p>
      </xdr:txBody>
    </xdr:sp>
    <xdr:clientData/>
  </xdr:oneCellAnchor>
  <xdr:twoCellAnchor>
    <xdr:from>
      <xdr:col>2</xdr:col>
      <xdr:colOff>57150</xdr:colOff>
      <xdr:row>1</xdr:row>
      <xdr:rowOff>57150</xdr:rowOff>
    </xdr:from>
    <xdr:to>
      <xdr:col>10</xdr:col>
      <xdr:colOff>38100</xdr:colOff>
      <xdr:row>1</xdr:row>
      <xdr:rowOff>65665</xdr:rowOff>
    </xdr:to>
    <xdr:cxnSp macro="">
      <xdr:nvCxnSpPr>
        <xdr:cNvPr id="3" name="Straight Connector 2"/>
        <xdr:cNvCxnSpPr/>
      </xdr:nvCxnSpPr>
      <xdr:spPr>
        <a:xfrm>
          <a:off x="1552575" y="847725"/>
          <a:ext cx="6858000" cy="8515"/>
        </a:xfrm>
        <a:prstGeom prst="line">
          <a:avLst/>
        </a:prstGeom>
        <a:ln w="12700">
          <a:solidFill>
            <a:schemeClr val="accent1">
              <a:lumMod val="50000"/>
            </a:schemeClr>
          </a:solidFill>
        </a:ln>
        <a:effec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133348</xdr:colOff>
      <xdr:row>2</xdr:row>
      <xdr:rowOff>2384</xdr:rowOff>
    </xdr:from>
    <xdr:to>
      <xdr:col>15</xdr:col>
      <xdr:colOff>204786</xdr:colOff>
      <xdr:row>18</xdr:row>
      <xdr:rowOff>85726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8</xdr:col>
      <xdr:colOff>272141</xdr:colOff>
      <xdr:row>2</xdr:row>
      <xdr:rowOff>167367</xdr:rowOff>
    </xdr:from>
    <xdr:ext cx="2843893" cy="383118"/>
    <xdr:sp macro="" textlink="">
      <xdr:nvSpPr>
        <xdr:cNvPr id="5" name="TextBox 4"/>
        <xdr:cNvSpPr txBox="1"/>
      </xdr:nvSpPr>
      <xdr:spPr>
        <a:xfrm>
          <a:off x="7120616" y="1196067"/>
          <a:ext cx="2843893" cy="38311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pPr algn="l"/>
          <a:r>
            <a:rPr lang="en-US" sz="2000">
              <a:solidFill>
                <a:schemeClr val="accent1">
                  <a:lumMod val="50000"/>
                </a:schemeClr>
              </a:solidFill>
              <a:latin typeface="Franklin Gothic Demi" pitchFamily="34" charset="0"/>
            </a:rPr>
            <a:t>Gastos Mensuales</a:t>
          </a:r>
        </a:p>
      </xdr:txBody>
    </xdr:sp>
    <xdr:clientData/>
  </xdr:oneCellAnchor>
  <xdr:twoCellAnchor>
    <xdr:from>
      <xdr:col>10</xdr:col>
      <xdr:colOff>266699</xdr:colOff>
      <xdr:row>19</xdr:row>
      <xdr:rowOff>476250</xdr:rowOff>
    </xdr:from>
    <xdr:to>
      <xdr:col>19</xdr:col>
      <xdr:colOff>409574</xdr:colOff>
      <xdr:row>34</xdr:row>
      <xdr:rowOff>85725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200025</xdr:colOff>
      <xdr:row>0</xdr:row>
      <xdr:rowOff>28576</xdr:rowOff>
    </xdr:from>
    <xdr:to>
      <xdr:col>1</xdr:col>
      <xdr:colOff>1057275</xdr:colOff>
      <xdr:row>1</xdr:row>
      <xdr:rowOff>158029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28576"/>
          <a:ext cx="1190625" cy="92002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9524</xdr:colOff>
      <xdr:row>0</xdr:row>
      <xdr:rowOff>511753</xdr:rowOff>
    </xdr:from>
    <xdr:ext cx="7686676" cy="297872"/>
    <xdr:sp macro="" textlink="">
      <xdr:nvSpPr>
        <xdr:cNvPr id="2" name="Rectangle 1"/>
        <xdr:cNvSpPr/>
      </xdr:nvSpPr>
      <xdr:spPr>
        <a:xfrm>
          <a:off x="1504949" y="511753"/>
          <a:ext cx="7686676" cy="297872"/>
        </a:xfrm>
        <a:prstGeom prst="rect">
          <a:avLst/>
        </a:prstGeom>
        <a:noFill/>
      </xdr:spPr>
      <xdr:txBody>
        <a:bodyPr wrap="square" lIns="91440" tIns="45720" rIns="91440" bIns="45720" anchor="ctr" anchorCtr="0">
          <a:noAutofit/>
        </a:bodyPr>
        <a:lstStyle/>
        <a:p>
          <a:pPr algn="l"/>
          <a:r>
            <a:rPr lang="en-US" sz="2700" b="1" cap="none" spc="0" baseline="0">
              <a:ln w="9525" cmpd="sng">
                <a:solidFill>
                  <a:srgbClr val="FFFFFF"/>
                </a:solidFill>
                <a:prstDash val="solid"/>
                <a:miter lim="800000"/>
              </a:ln>
              <a:solidFill>
                <a:schemeClr val="accent2">
                  <a:lumMod val="75000"/>
                </a:schemeClr>
              </a:solidFill>
              <a:effectLst/>
              <a:latin typeface="+mj-lt"/>
              <a:ea typeface="Tahoma" pitchFamily="34" charset="0"/>
              <a:cs typeface="Tahoma" pitchFamily="34" charset="0"/>
            </a:rPr>
            <a:t>Presupuesto Mensual del Hogar- Noviembre</a:t>
          </a:r>
        </a:p>
      </xdr:txBody>
    </xdr:sp>
    <xdr:clientData/>
  </xdr:oneCellAnchor>
  <xdr:twoCellAnchor>
    <xdr:from>
      <xdr:col>2</xdr:col>
      <xdr:colOff>57150</xdr:colOff>
      <xdr:row>1</xdr:row>
      <xdr:rowOff>57150</xdr:rowOff>
    </xdr:from>
    <xdr:to>
      <xdr:col>10</xdr:col>
      <xdr:colOff>38100</xdr:colOff>
      <xdr:row>1</xdr:row>
      <xdr:rowOff>65665</xdr:rowOff>
    </xdr:to>
    <xdr:cxnSp macro="">
      <xdr:nvCxnSpPr>
        <xdr:cNvPr id="3" name="Straight Connector 2"/>
        <xdr:cNvCxnSpPr/>
      </xdr:nvCxnSpPr>
      <xdr:spPr>
        <a:xfrm>
          <a:off x="1552575" y="847725"/>
          <a:ext cx="6858000" cy="8515"/>
        </a:xfrm>
        <a:prstGeom prst="line">
          <a:avLst/>
        </a:prstGeom>
        <a:ln w="12700">
          <a:solidFill>
            <a:schemeClr val="accent1">
              <a:lumMod val="50000"/>
            </a:schemeClr>
          </a:solidFill>
        </a:ln>
        <a:effec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133348</xdr:colOff>
      <xdr:row>2</xdr:row>
      <xdr:rowOff>2384</xdr:rowOff>
    </xdr:from>
    <xdr:to>
      <xdr:col>15</xdr:col>
      <xdr:colOff>204786</xdr:colOff>
      <xdr:row>18</xdr:row>
      <xdr:rowOff>85726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8</xdr:col>
      <xdr:colOff>272141</xdr:colOff>
      <xdr:row>2</xdr:row>
      <xdr:rowOff>167367</xdr:rowOff>
    </xdr:from>
    <xdr:ext cx="2843893" cy="383118"/>
    <xdr:sp macro="" textlink="">
      <xdr:nvSpPr>
        <xdr:cNvPr id="5" name="TextBox 4"/>
        <xdr:cNvSpPr txBox="1"/>
      </xdr:nvSpPr>
      <xdr:spPr>
        <a:xfrm>
          <a:off x="7120616" y="1196067"/>
          <a:ext cx="2843893" cy="38311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pPr algn="l"/>
          <a:r>
            <a:rPr lang="en-US" sz="2000">
              <a:solidFill>
                <a:schemeClr val="accent1">
                  <a:lumMod val="50000"/>
                </a:schemeClr>
              </a:solidFill>
              <a:latin typeface="Franklin Gothic Demi" pitchFamily="34" charset="0"/>
            </a:rPr>
            <a:t>Gastos Mensuales</a:t>
          </a:r>
        </a:p>
      </xdr:txBody>
    </xdr:sp>
    <xdr:clientData/>
  </xdr:oneCellAnchor>
  <xdr:twoCellAnchor>
    <xdr:from>
      <xdr:col>10</xdr:col>
      <xdr:colOff>266699</xdr:colOff>
      <xdr:row>19</xdr:row>
      <xdr:rowOff>476250</xdr:rowOff>
    </xdr:from>
    <xdr:to>
      <xdr:col>19</xdr:col>
      <xdr:colOff>409574</xdr:colOff>
      <xdr:row>34</xdr:row>
      <xdr:rowOff>85725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200025</xdr:colOff>
      <xdr:row>0</xdr:row>
      <xdr:rowOff>28576</xdr:rowOff>
    </xdr:from>
    <xdr:to>
      <xdr:col>1</xdr:col>
      <xdr:colOff>1057275</xdr:colOff>
      <xdr:row>1</xdr:row>
      <xdr:rowOff>158029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28576"/>
          <a:ext cx="1190625" cy="92002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9524</xdr:colOff>
      <xdr:row>0</xdr:row>
      <xdr:rowOff>511753</xdr:rowOff>
    </xdr:from>
    <xdr:ext cx="8105776" cy="297872"/>
    <xdr:sp macro="" textlink="">
      <xdr:nvSpPr>
        <xdr:cNvPr id="2" name="Rectangle 1"/>
        <xdr:cNvSpPr/>
      </xdr:nvSpPr>
      <xdr:spPr>
        <a:xfrm>
          <a:off x="1504949" y="511753"/>
          <a:ext cx="8105776" cy="297872"/>
        </a:xfrm>
        <a:prstGeom prst="rect">
          <a:avLst/>
        </a:prstGeom>
        <a:noFill/>
      </xdr:spPr>
      <xdr:txBody>
        <a:bodyPr wrap="square" lIns="91440" tIns="45720" rIns="91440" bIns="45720" anchor="ctr" anchorCtr="0">
          <a:noAutofit/>
        </a:bodyPr>
        <a:lstStyle/>
        <a:p>
          <a:pPr algn="l"/>
          <a:r>
            <a:rPr lang="en-US" sz="2700" b="1" cap="none" spc="0" baseline="0">
              <a:ln w="9525" cmpd="sng">
                <a:solidFill>
                  <a:srgbClr val="FFFFFF"/>
                </a:solidFill>
                <a:prstDash val="solid"/>
                <a:miter lim="800000"/>
              </a:ln>
              <a:solidFill>
                <a:schemeClr val="accent2">
                  <a:lumMod val="75000"/>
                </a:schemeClr>
              </a:solidFill>
              <a:effectLst/>
              <a:latin typeface="+mj-lt"/>
              <a:ea typeface="Tahoma" pitchFamily="34" charset="0"/>
              <a:cs typeface="Tahoma" pitchFamily="34" charset="0"/>
            </a:rPr>
            <a:t>Presupuesto Mensual del Hogar- Diciembre</a:t>
          </a:r>
        </a:p>
      </xdr:txBody>
    </xdr:sp>
    <xdr:clientData/>
  </xdr:oneCellAnchor>
  <xdr:twoCellAnchor>
    <xdr:from>
      <xdr:col>2</xdr:col>
      <xdr:colOff>57150</xdr:colOff>
      <xdr:row>1</xdr:row>
      <xdr:rowOff>57150</xdr:rowOff>
    </xdr:from>
    <xdr:to>
      <xdr:col>10</xdr:col>
      <xdr:colOff>38100</xdr:colOff>
      <xdr:row>1</xdr:row>
      <xdr:rowOff>65665</xdr:rowOff>
    </xdr:to>
    <xdr:cxnSp macro="">
      <xdr:nvCxnSpPr>
        <xdr:cNvPr id="3" name="Straight Connector 2"/>
        <xdr:cNvCxnSpPr/>
      </xdr:nvCxnSpPr>
      <xdr:spPr>
        <a:xfrm>
          <a:off x="1552575" y="847725"/>
          <a:ext cx="6858000" cy="8515"/>
        </a:xfrm>
        <a:prstGeom prst="line">
          <a:avLst/>
        </a:prstGeom>
        <a:ln w="12700">
          <a:solidFill>
            <a:schemeClr val="accent1">
              <a:lumMod val="50000"/>
            </a:schemeClr>
          </a:solidFill>
        </a:ln>
        <a:effec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133348</xdr:colOff>
      <xdr:row>2</xdr:row>
      <xdr:rowOff>2384</xdr:rowOff>
    </xdr:from>
    <xdr:to>
      <xdr:col>15</xdr:col>
      <xdr:colOff>204786</xdr:colOff>
      <xdr:row>18</xdr:row>
      <xdr:rowOff>85726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8</xdr:col>
      <xdr:colOff>272141</xdr:colOff>
      <xdr:row>2</xdr:row>
      <xdr:rowOff>167367</xdr:rowOff>
    </xdr:from>
    <xdr:ext cx="2843893" cy="383118"/>
    <xdr:sp macro="" textlink="">
      <xdr:nvSpPr>
        <xdr:cNvPr id="5" name="TextBox 4"/>
        <xdr:cNvSpPr txBox="1"/>
      </xdr:nvSpPr>
      <xdr:spPr>
        <a:xfrm>
          <a:off x="7120616" y="1196067"/>
          <a:ext cx="2843893" cy="38311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pPr algn="l"/>
          <a:r>
            <a:rPr lang="en-US" sz="2000">
              <a:solidFill>
                <a:schemeClr val="accent1">
                  <a:lumMod val="50000"/>
                </a:schemeClr>
              </a:solidFill>
              <a:latin typeface="Franklin Gothic Demi" pitchFamily="34" charset="0"/>
            </a:rPr>
            <a:t>Gastos Mensuales</a:t>
          </a:r>
        </a:p>
      </xdr:txBody>
    </xdr:sp>
    <xdr:clientData/>
  </xdr:oneCellAnchor>
  <xdr:twoCellAnchor>
    <xdr:from>
      <xdr:col>10</xdr:col>
      <xdr:colOff>266699</xdr:colOff>
      <xdr:row>19</xdr:row>
      <xdr:rowOff>476250</xdr:rowOff>
    </xdr:from>
    <xdr:to>
      <xdr:col>19</xdr:col>
      <xdr:colOff>409574</xdr:colOff>
      <xdr:row>34</xdr:row>
      <xdr:rowOff>85725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200025</xdr:colOff>
      <xdr:row>0</xdr:row>
      <xdr:rowOff>28576</xdr:rowOff>
    </xdr:from>
    <xdr:to>
      <xdr:col>1</xdr:col>
      <xdr:colOff>1057275</xdr:colOff>
      <xdr:row>1</xdr:row>
      <xdr:rowOff>158029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28576"/>
          <a:ext cx="1190625" cy="92002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209549</xdr:colOff>
      <xdr:row>1</xdr:row>
      <xdr:rowOff>85725</xdr:rowOff>
    </xdr:from>
    <xdr:ext cx="8715375" cy="297872"/>
    <xdr:sp macro="" textlink="">
      <xdr:nvSpPr>
        <xdr:cNvPr id="2" name="Rectangle 1"/>
        <xdr:cNvSpPr/>
      </xdr:nvSpPr>
      <xdr:spPr>
        <a:xfrm>
          <a:off x="209549" y="276225"/>
          <a:ext cx="8715375" cy="297872"/>
        </a:xfrm>
        <a:prstGeom prst="rect">
          <a:avLst/>
        </a:prstGeom>
        <a:noFill/>
      </xdr:spPr>
      <xdr:txBody>
        <a:bodyPr wrap="square" lIns="91440" tIns="45720" rIns="91440" bIns="45720" anchor="ctr" anchorCtr="0">
          <a:noAutofit/>
        </a:bodyPr>
        <a:lstStyle/>
        <a:p>
          <a:pPr algn="l"/>
          <a:r>
            <a:rPr lang="en-US" sz="2700" b="1" cap="none" spc="0" baseline="0">
              <a:ln w="9525" cmpd="sng">
                <a:solidFill>
                  <a:srgbClr val="FFFFFF"/>
                </a:solidFill>
                <a:prstDash val="solid"/>
                <a:miter lim="800000"/>
              </a:ln>
              <a:solidFill>
                <a:schemeClr val="accent2">
                  <a:lumMod val="75000"/>
                </a:schemeClr>
              </a:solidFill>
              <a:effectLst/>
              <a:latin typeface="+mj-lt"/>
              <a:ea typeface="Tahoma" pitchFamily="34" charset="0"/>
              <a:cs typeface="Tahoma" pitchFamily="34" charset="0"/>
            </a:rPr>
            <a:t>Presupuesto del Hogar- Resumen de ingresos y gastos</a:t>
          </a:r>
        </a:p>
      </xdr:txBody>
    </xdr:sp>
    <xdr:clientData/>
  </xdr:oneCellAnchor>
  <xdr:twoCellAnchor>
    <xdr:from>
      <xdr:col>0</xdr:col>
      <xdr:colOff>323850</xdr:colOff>
      <xdr:row>3</xdr:row>
      <xdr:rowOff>38100</xdr:rowOff>
    </xdr:from>
    <xdr:to>
      <xdr:col>7</xdr:col>
      <xdr:colOff>247650</xdr:colOff>
      <xdr:row>3</xdr:row>
      <xdr:rowOff>85725</xdr:rowOff>
    </xdr:to>
    <xdr:cxnSp macro="">
      <xdr:nvCxnSpPr>
        <xdr:cNvPr id="3" name="Straight Connector 2"/>
        <xdr:cNvCxnSpPr/>
      </xdr:nvCxnSpPr>
      <xdr:spPr>
        <a:xfrm>
          <a:off x="323850" y="609600"/>
          <a:ext cx="8382000" cy="47625"/>
        </a:xfrm>
        <a:prstGeom prst="line">
          <a:avLst/>
        </a:prstGeom>
        <a:ln w="12700">
          <a:solidFill>
            <a:schemeClr val="accent1">
              <a:lumMod val="50000"/>
            </a:schemeClr>
          </a:solidFill>
        </a:ln>
        <a:effec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9524</xdr:colOff>
      <xdr:row>0</xdr:row>
      <xdr:rowOff>511753</xdr:rowOff>
    </xdr:from>
    <xdr:ext cx="8315326" cy="297872"/>
    <xdr:sp macro="" textlink="">
      <xdr:nvSpPr>
        <xdr:cNvPr id="2" name="Rectangle 1"/>
        <xdr:cNvSpPr/>
      </xdr:nvSpPr>
      <xdr:spPr>
        <a:xfrm>
          <a:off x="1504949" y="511753"/>
          <a:ext cx="8315326" cy="297872"/>
        </a:xfrm>
        <a:prstGeom prst="rect">
          <a:avLst/>
        </a:prstGeom>
        <a:noFill/>
      </xdr:spPr>
      <xdr:txBody>
        <a:bodyPr wrap="square" lIns="91440" tIns="45720" rIns="91440" bIns="45720" anchor="ctr" anchorCtr="0">
          <a:noAutofit/>
        </a:bodyPr>
        <a:lstStyle/>
        <a:p>
          <a:pPr algn="l"/>
          <a:r>
            <a:rPr lang="en-US" sz="2700" b="1" cap="none" spc="0" baseline="0">
              <a:ln w="9525" cmpd="sng">
                <a:solidFill>
                  <a:srgbClr val="FFFFFF"/>
                </a:solidFill>
                <a:prstDash val="solid"/>
                <a:miter lim="800000"/>
              </a:ln>
              <a:solidFill>
                <a:schemeClr val="accent2">
                  <a:lumMod val="75000"/>
                </a:schemeClr>
              </a:solidFill>
              <a:effectLst/>
              <a:latin typeface="+mj-lt"/>
              <a:ea typeface="Tahoma" pitchFamily="34" charset="0"/>
              <a:cs typeface="Tahoma" pitchFamily="34" charset="0"/>
            </a:rPr>
            <a:t>Presupuesto del Hogar- Anual Acumulado</a:t>
          </a:r>
        </a:p>
      </xdr:txBody>
    </xdr:sp>
    <xdr:clientData/>
  </xdr:oneCellAnchor>
  <xdr:twoCellAnchor>
    <xdr:from>
      <xdr:col>2</xdr:col>
      <xdr:colOff>57150</xdr:colOff>
      <xdr:row>1</xdr:row>
      <xdr:rowOff>57150</xdr:rowOff>
    </xdr:from>
    <xdr:to>
      <xdr:col>11</xdr:col>
      <xdr:colOff>533400</xdr:colOff>
      <xdr:row>1</xdr:row>
      <xdr:rowOff>85725</xdr:rowOff>
    </xdr:to>
    <xdr:cxnSp macro="">
      <xdr:nvCxnSpPr>
        <xdr:cNvPr id="3" name="Straight Connector 2"/>
        <xdr:cNvCxnSpPr/>
      </xdr:nvCxnSpPr>
      <xdr:spPr>
        <a:xfrm>
          <a:off x="1552575" y="847725"/>
          <a:ext cx="7962900" cy="28575"/>
        </a:xfrm>
        <a:prstGeom prst="line">
          <a:avLst/>
        </a:prstGeom>
        <a:ln w="12700">
          <a:solidFill>
            <a:schemeClr val="accent1">
              <a:lumMod val="50000"/>
            </a:schemeClr>
          </a:solidFill>
        </a:ln>
        <a:effec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133348</xdr:colOff>
      <xdr:row>2</xdr:row>
      <xdr:rowOff>2384</xdr:rowOff>
    </xdr:from>
    <xdr:to>
      <xdr:col>19</xdr:col>
      <xdr:colOff>304800</xdr:colOff>
      <xdr:row>18</xdr:row>
      <xdr:rowOff>85726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8</xdr:col>
      <xdr:colOff>272141</xdr:colOff>
      <xdr:row>2</xdr:row>
      <xdr:rowOff>167367</xdr:rowOff>
    </xdr:from>
    <xdr:ext cx="2843893" cy="383118"/>
    <xdr:sp macro="" textlink="">
      <xdr:nvSpPr>
        <xdr:cNvPr id="5" name="TextBox 4"/>
        <xdr:cNvSpPr txBox="1"/>
      </xdr:nvSpPr>
      <xdr:spPr>
        <a:xfrm>
          <a:off x="7120616" y="1196067"/>
          <a:ext cx="2843893" cy="38311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pPr algn="l"/>
          <a:r>
            <a:rPr lang="en-US" sz="2000">
              <a:solidFill>
                <a:schemeClr val="accent1">
                  <a:lumMod val="50000"/>
                </a:schemeClr>
              </a:solidFill>
              <a:latin typeface="Franklin Gothic Demi" pitchFamily="34" charset="0"/>
            </a:rPr>
            <a:t>Gastos Anuales</a:t>
          </a:r>
        </a:p>
      </xdr:txBody>
    </xdr:sp>
    <xdr:clientData/>
  </xdr:oneCellAnchor>
  <xdr:twoCellAnchor>
    <xdr:from>
      <xdr:col>10</xdr:col>
      <xdr:colOff>266699</xdr:colOff>
      <xdr:row>19</xdr:row>
      <xdr:rowOff>476250</xdr:rowOff>
    </xdr:from>
    <xdr:to>
      <xdr:col>19</xdr:col>
      <xdr:colOff>409574</xdr:colOff>
      <xdr:row>34</xdr:row>
      <xdr:rowOff>85725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200025</xdr:colOff>
      <xdr:row>0</xdr:row>
      <xdr:rowOff>28576</xdr:rowOff>
    </xdr:from>
    <xdr:to>
      <xdr:col>1</xdr:col>
      <xdr:colOff>1057275</xdr:colOff>
      <xdr:row>1</xdr:row>
      <xdr:rowOff>158029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28576"/>
          <a:ext cx="1190625" cy="9200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9524</xdr:colOff>
      <xdr:row>0</xdr:row>
      <xdr:rowOff>511753</xdr:rowOff>
    </xdr:from>
    <xdr:ext cx="6905626" cy="297872"/>
    <xdr:sp macro="" textlink="">
      <xdr:nvSpPr>
        <xdr:cNvPr id="2" name="Rectangle 1"/>
        <xdr:cNvSpPr/>
      </xdr:nvSpPr>
      <xdr:spPr>
        <a:xfrm>
          <a:off x="1504949" y="511753"/>
          <a:ext cx="6905626" cy="297872"/>
        </a:xfrm>
        <a:prstGeom prst="rect">
          <a:avLst/>
        </a:prstGeom>
        <a:noFill/>
      </xdr:spPr>
      <xdr:txBody>
        <a:bodyPr wrap="square" lIns="91440" tIns="45720" rIns="91440" bIns="45720" anchor="ctr" anchorCtr="0">
          <a:noAutofit/>
        </a:bodyPr>
        <a:lstStyle/>
        <a:p>
          <a:pPr algn="l"/>
          <a:r>
            <a:rPr lang="en-US" sz="2700" b="1" cap="none" spc="0" baseline="0">
              <a:ln w="9525" cmpd="sng">
                <a:solidFill>
                  <a:srgbClr val="FFFFFF"/>
                </a:solidFill>
                <a:prstDash val="solid"/>
                <a:miter lim="800000"/>
              </a:ln>
              <a:solidFill>
                <a:schemeClr val="accent2">
                  <a:lumMod val="75000"/>
                </a:schemeClr>
              </a:solidFill>
              <a:effectLst/>
              <a:latin typeface="+mj-lt"/>
              <a:ea typeface="Tahoma" pitchFamily="34" charset="0"/>
              <a:cs typeface="Tahoma" pitchFamily="34" charset="0"/>
            </a:rPr>
            <a:t>Presupuesto Mensual del Hogar- Febrero</a:t>
          </a:r>
        </a:p>
      </xdr:txBody>
    </xdr:sp>
    <xdr:clientData/>
  </xdr:oneCellAnchor>
  <xdr:twoCellAnchor>
    <xdr:from>
      <xdr:col>2</xdr:col>
      <xdr:colOff>57150</xdr:colOff>
      <xdr:row>1</xdr:row>
      <xdr:rowOff>57150</xdr:rowOff>
    </xdr:from>
    <xdr:to>
      <xdr:col>10</xdr:col>
      <xdr:colOff>38100</xdr:colOff>
      <xdr:row>1</xdr:row>
      <xdr:rowOff>65665</xdr:rowOff>
    </xdr:to>
    <xdr:cxnSp macro="">
      <xdr:nvCxnSpPr>
        <xdr:cNvPr id="3" name="Straight Connector 2"/>
        <xdr:cNvCxnSpPr/>
      </xdr:nvCxnSpPr>
      <xdr:spPr>
        <a:xfrm>
          <a:off x="1552575" y="847725"/>
          <a:ext cx="6858000" cy="8515"/>
        </a:xfrm>
        <a:prstGeom prst="line">
          <a:avLst/>
        </a:prstGeom>
        <a:ln w="12700">
          <a:solidFill>
            <a:schemeClr val="accent1">
              <a:lumMod val="50000"/>
            </a:schemeClr>
          </a:solidFill>
        </a:ln>
        <a:effec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133348</xdr:colOff>
      <xdr:row>2</xdr:row>
      <xdr:rowOff>2384</xdr:rowOff>
    </xdr:from>
    <xdr:to>
      <xdr:col>15</xdr:col>
      <xdr:colOff>204786</xdr:colOff>
      <xdr:row>18</xdr:row>
      <xdr:rowOff>85726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8</xdr:col>
      <xdr:colOff>272141</xdr:colOff>
      <xdr:row>2</xdr:row>
      <xdr:rowOff>167367</xdr:rowOff>
    </xdr:from>
    <xdr:ext cx="2843893" cy="383118"/>
    <xdr:sp macro="" textlink="">
      <xdr:nvSpPr>
        <xdr:cNvPr id="5" name="TextBox 4"/>
        <xdr:cNvSpPr txBox="1"/>
      </xdr:nvSpPr>
      <xdr:spPr>
        <a:xfrm>
          <a:off x="7120616" y="1196067"/>
          <a:ext cx="2843893" cy="38311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pPr algn="l"/>
          <a:r>
            <a:rPr lang="en-US" sz="2000">
              <a:solidFill>
                <a:schemeClr val="accent1">
                  <a:lumMod val="50000"/>
                </a:schemeClr>
              </a:solidFill>
              <a:latin typeface="Franklin Gothic Demi" pitchFamily="34" charset="0"/>
            </a:rPr>
            <a:t>Gastos Mensuales</a:t>
          </a:r>
        </a:p>
      </xdr:txBody>
    </xdr:sp>
    <xdr:clientData/>
  </xdr:oneCellAnchor>
  <xdr:twoCellAnchor>
    <xdr:from>
      <xdr:col>10</xdr:col>
      <xdr:colOff>266699</xdr:colOff>
      <xdr:row>19</xdr:row>
      <xdr:rowOff>476250</xdr:rowOff>
    </xdr:from>
    <xdr:to>
      <xdr:col>19</xdr:col>
      <xdr:colOff>409574</xdr:colOff>
      <xdr:row>34</xdr:row>
      <xdr:rowOff>85725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200025</xdr:colOff>
      <xdr:row>0</xdr:row>
      <xdr:rowOff>28576</xdr:rowOff>
    </xdr:from>
    <xdr:to>
      <xdr:col>1</xdr:col>
      <xdr:colOff>1057275</xdr:colOff>
      <xdr:row>1</xdr:row>
      <xdr:rowOff>158029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28576"/>
          <a:ext cx="1190625" cy="9200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9524</xdr:colOff>
      <xdr:row>0</xdr:row>
      <xdr:rowOff>511753</xdr:rowOff>
    </xdr:from>
    <xdr:ext cx="6467475" cy="297872"/>
    <xdr:sp macro="" textlink="">
      <xdr:nvSpPr>
        <xdr:cNvPr id="2" name="Rectangle 1"/>
        <xdr:cNvSpPr/>
      </xdr:nvSpPr>
      <xdr:spPr>
        <a:xfrm>
          <a:off x="1504949" y="511753"/>
          <a:ext cx="6467475" cy="297872"/>
        </a:xfrm>
        <a:prstGeom prst="rect">
          <a:avLst/>
        </a:prstGeom>
        <a:noFill/>
      </xdr:spPr>
      <xdr:txBody>
        <a:bodyPr wrap="square" lIns="91440" tIns="45720" rIns="91440" bIns="45720" anchor="ctr" anchorCtr="0">
          <a:noAutofit/>
        </a:bodyPr>
        <a:lstStyle/>
        <a:p>
          <a:pPr algn="l"/>
          <a:r>
            <a:rPr lang="en-US" sz="2700" b="1" cap="none" spc="0" baseline="0">
              <a:ln w="9525" cmpd="sng">
                <a:solidFill>
                  <a:srgbClr val="FFFFFF"/>
                </a:solidFill>
                <a:prstDash val="solid"/>
                <a:miter lim="800000"/>
              </a:ln>
              <a:solidFill>
                <a:schemeClr val="accent2">
                  <a:lumMod val="75000"/>
                </a:schemeClr>
              </a:solidFill>
              <a:effectLst/>
              <a:latin typeface="+mj-lt"/>
              <a:ea typeface="Tahoma" pitchFamily="34" charset="0"/>
              <a:cs typeface="Tahoma" pitchFamily="34" charset="0"/>
            </a:rPr>
            <a:t>Presupuesto Mensual del Hogar- Marzo</a:t>
          </a:r>
        </a:p>
      </xdr:txBody>
    </xdr:sp>
    <xdr:clientData/>
  </xdr:oneCellAnchor>
  <xdr:twoCellAnchor>
    <xdr:from>
      <xdr:col>2</xdr:col>
      <xdr:colOff>57150</xdr:colOff>
      <xdr:row>1</xdr:row>
      <xdr:rowOff>57150</xdr:rowOff>
    </xdr:from>
    <xdr:to>
      <xdr:col>10</xdr:col>
      <xdr:colOff>38100</xdr:colOff>
      <xdr:row>1</xdr:row>
      <xdr:rowOff>65665</xdr:rowOff>
    </xdr:to>
    <xdr:cxnSp macro="">
      <xdr:nvCxnSpPr>
        <xdr:cNvPr id="3" name="Straight Connector 2"/>
        <xdr:cNvCxnSpPr/>
      </xdr:nvCxnSpPr>
      <xdr:spPr>
        <a:xfrm>
          <a:off x="1828800" y="847725"/>
          <a:ext cx="5076825" cy="8515"/>
        </a:xfrm>
        <a:prstGeom prst="line">
          <a:avLst/>
        </a:prstGeom>
        <a:ln w="12700">
          <a:solidFill>
            <a:schemeClr val="accent1">
              <a:lumMod val="50000"/>
            </a:schemeClr>
          </a:solidFill>
        </a:ln>
        <a:effec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133348</xdr:colOff>
      <xdr:row>2</xdr:row>
      <xdr:rowOff>2384</xdr:rowOff>
    </xdr:from>
    <xdr:to>
      <xdr:col>15</xdr:col>
      <xdr:colOff>204786</xdr:colOff>
      <xdr:row>18</xdr:row>
      <xdr:rowOff>85726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8</xdr:col>
      <xdr:colOff>272141</xdr:colOff>
      <xdr:row>2</xdr:row>
      <xdr:rowOff>167367</xdr:rowOff>
    </xdr:from>
    <xdr:ext cx="2843893" cy="383118"/>
    <xdr:sp macro="" textlink="">
      <xdr:nvSpPr>
        <xdr:cNvPr id="7" name="TextBox 6"/>
        <xdr:cNvSpPr txBox="1"/>
      </xdr:nvSpPr>
      <xdr:spPr>
        <a:xfrm>
          <a:off x="5148941" y="662667"/>
          <a:ext cx="2843893" cy="38311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pPr algn="l"/>
          <a:r>
            <a:rPr lang="en-US" sz="2000">
              <a:solidFill>
                <a:schemeClr val="accent1">
                  <a:lumMod val="50000"/>
                </a:schemeClr>
              </a:solidFill>
              <a:latin typeface="Franklin Gothic Demi" pitchFamily="34" charset="0"/>
            </a:rPr>
            <a:t>Gastos Mensuales</a:t>
          </a:r>
        </a:p>
      </xdr:txBody>
    </xdr:sp>
    <xdr:clientData/>
  </xdr:oneCellAnchor>
  <xdr:twoCellAnchor>
    <xdr:from>
      <xdr:col>10</xdr:col>
      <xdr:colOff>266699</xdr:colOff>
      <xdr:row>19</xdr:row>
      <xdr:rowOff>476250</xdr:rowOff>
    </xdr:from>
    <xdr:to>
      <xdr:col>19</xdr:col>
      <xdr:colOff>409574</xdr:colOff>
      <xdr:row>34</xdr:row>
      <xdr:rowOff>85725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200025</xdr:colOff>
      <xdr:row>0</xdr:row>
      <xdr:rowOff>28576</xdr:rowOff>
    </xdr:from>
    <xdr:to>
      <xdr:col>1</xdr:col>
      <xdr:colOff>1057275</xdr:colOff>
      <xdr:row>1</xdr:row>
      <xdr:rowOff>158029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28576"/>
          <a:ext cx="1190625" cy="9200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9524</xdr:colOff>
      <xdr:row>0</xdr:row>
      <xdr:rowOff>511753</xdr:rowOff>
    </xdr:from>
    <xdr:ext cx="6467475" cy="297872"/>
    <xdr:sp macro="" textlink="">
      <xdr:nvSpPr>
        <xdr:cNvPr id="2" name="Rectangle 1"/>
        <xdr:cNvSpPr/>
      </xdr:nvSpPr>
      <xdr:spPr>
        <a:xfrm>
          <a:off x="1504949" y="511753"/>
          <a:ext cx="6467475" cy="297872"/>
        </a:xfrm>
        <a:prstGeom prst="rect">
          <a:avLst/>
        </a:prstGeom>
        <a:noFill/>
      </xdr:spPr>
      <xdr:txBody>
        <a:bodyPr wrap="square" lIns="91440" tIns="45720" rIns="91440" bIns="45720" anchor="ctr" anchorCtr="0">
          <a:noAutofit/>
        </a:bodyPr>
        <a:lstStyle/>
        <a:p>
          <a:pPr algn="l"/>
          <a:r>
            <a:rPr lang="en-US" sz="2700" b="1" cap="none" spc="0" baseline="0">
              <a:ln w="9525" cmpd="sng">
                <a:solidFill>
                  <a:srgbClr val="FFFFFF"/>
                </a:solidFill>
                <a:prstDash val="solid"/>
                <a:miter lim="800000"/>
              </a:ln>
              <a:solidFill>
                <a:schemeClr val="accent2">
                  <a:lumMod val="75000"/>
                </a:schemeClr>
              </a:solidFill>
              <a:effectLst/>
              <a:latin typeface="+mj-lt"/>
              <a:ea typeface="Tahoma" pitchFamily="34" charset="0"/>
              <a:cs typeface="Tahoma" pitchFamily="34" charset="0"/>
            </a:rPr>
            <a:t>Presupuesto Mensual del Hogar- Abril</a:t>
          </a:r>
        </a:p>
      </xdr:txBody>
    </xdr:sp>
    <xdr:clientData/>
  </xdr:oneCellAnchor>
  <xdr:twoCellAnchor>
    <xdr:from>
      <xdr:col>2</xdr:col>
      <xdr:colOff>57150</xdr:colOff>
      <xdr:row>1</xdr:row>
      <xdr:rowOff>57150</xdr:rowOff>
    </xdr:from>
    <xdr:to>
      <xdr:col>10</xdr:col>
      <xdr:colOff>38100</xdr:colOff>
      <xdr:row>1</xdr:row>
      <xdr:rowOff>65665</xdr:rowOff>
    </xdr:to>
    <xdr:cxnSp macro="">
      <xdr:nvCxnSpPr>
        <xdr:cNvPr id="3" name="Straight Connector 2"/>
        <xdr:cNvCxnSpPr/>
      </xdr:nvCxnSpPr>
      <xdr:spPr>
        <a:xfrm>
          <a:off x="1552575" y="847725"/>
          <a:ext cx="6858000" cy="8515"/>
        </a:xfrm>
        <a:prstGeom prst="line">
          <a:avLst/>
        </a:prstGeom>
        <a:ln w="12700">
          <a:solidFill>
            <a:schemeClr val="accent1">
              <a:lumMod val="50000"/>
            </a:schemeClr>
          </a:solidFill>
        </a:ln>
        <a:effec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133348</xdr:colOff>
      <xdr:row>2</xdr:row>
      <xdr:rowOff>2384</xdr:rowOff>
    </xdr:from>
    <xdr:to>
      <xdr:col>15</xdr:col>
      <xdr:colOff>204786</xdr:colOff>
      <xdr:row>18</xdr:row>
      <xdr:rowOff>85726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8</xdr:col>
      <xdr:colOff>272141</xdr:colOff>
      <xdr:row>2</xdr:row>
      <xdr:rowOff>167367</xdr:rowOff>
    </xdr:from>
    <xdr:ext cx="2843893" cy="383118"/>
    <xdr:sp macro="" textlink="">
      <xdr:nvSpPr>
        <xdr:cNvPr id="5" name="TextBox 4"/>
        <xdr:cNvSpPr txBox="1"/>
      </xdr:nvSpPr>
      <xdr:spPr>
        <a:xfrm>
          <a:off x="7120616" y="1196067"/>
          <a:ext cx="2843893" cy="38311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pPr algn="l"/>
          <a:r>
            <a:rPr lang="en-US" sz="2000">
              <a:solidFill>
                <a:schemeClr val="accent1">
                  <a:lumMod val="50000"/>
                </a:schemeClr>
              </a:solidFill>
              <a:latin typeface="Franklin Gothic Demi" pitchFamily="34" charset="0"/>
            </a:rPr>
            <a:t>Gastos Mensuales</a:t>
          </a:r>
        </a:p>
      </xdr:txBody>
    </xdr:sp>
    <xdr:clientData/>
  </xdr:oneCellAnchor>
  <xdr:twoCellAnchor>
    <xdr:from>
      <xdr:col>10</xdr:col>
      <xdr:colOff>266699</xdr:colOff>
      <xdr:row>19</xdr:row>
      <xdr:rowOff>476250</xdr:rowOff>
    </xdr:from>
    <xdr:to>
      <xdr:col>19</xdr:col>
      <xdr:colOff>409574</xdr:colOff>
      <xdr:row>34</xdr:row>
      <xdr:rowOff>85725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200025</xdr:colOff>
      <xdr:row>0</xdr:row>
      <xdr:rowOff>28576</xdr:rowOff>
    </xdr:from>
    <xdr:to>
      <xdr:col>1</xdr:col>
      <xdr:colOff>1057275</xdr:colOff>
      <xdr:row>1</xdr:row>
      <xdr:rowOff>158029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28576"/>
          <a:ext cx="1190625" cy="9200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9524</xdr:colOff>
      <xdr:row>0</xdr:row>
      <xdr:rowOff>511753</xdr:rowOff>
    </xdr:from>
    <xdr:ext cx="6467475" cy="297872"/>
    <xdr:sp macro="" textlink="">
      <xdr:nvSpPr>
        <xdr:cNvPr id="2" name="Rectangle 1"/>
        <xdr:cNvSpPr/>
      </xdr:nvSpPr>
      <xdr:spPr>
        <a:xfrm>
          <a:off x="1504949" y="511753"/>
          <a:ext cx="6467475" cy="297872"/>
        </a:xfrm>
        <a:prstGeom prst="rect">
          <a:avLst/>
        </a:prstGeom>
        <a:noFill/>
      </xdr:spPr>
      <xdr:txBody>
        <a:bodyPr wrap="square" lIns="91440" tIns="45720" rIns="91440" bIns="45720" anchor="ctr" anchorCtr="0">
          <a:noAutofit/>
        </a:bodyPr>
        <a:lstStyle/>
        <a:p>
          <a:pPr algn="l"/>
          <a:r>
            <a:rPr lang="en-US" sz="2700" b="1" cap="none" spc="0" baseline="0">
              <a:ln w="9525" cmpd="sng">
                <a:solidFill>
                  <a:srgbClr val="FFFFFF"/>
                </a:solidFill>
                <a:prstDash val="solid"/>
                <a:miter lim="800000"/>
              </a:ln>
              <a:solidFill>
                <a:schemeClr val="accent2">
                  <a:lumMod val="75000"/>
                </a:schemeClr>
              </a:solidFill>
              <a:effectLst/>
              <a:latin typeface="+mj-lt"/>
              <a:ea typeface="Tahoma" pitchFamily="34" charset="0"/>
              <a:cs typeface="Tahoma" pitchFamily="34" charset="0"/>
            </a:rPr>
            <a:t>Presupuesto Mensual del Hogar- Mayo</a:t>
          </a:r>
        </a:p>
      </xdr:txBody>
    </xdr:sp>
    <xdr:clientData/>
  </xdr:oneCellAnchor>
  <xdr:twoCellAnchor>
    <xdr:from>
      <xdr:col>2</xdr:col>
      <xdr:colOff>57150</xdr:colOff>
      <xdr:row>1</xdr:row>
      <xdr:rowOff>57150</xdr:rowOff>
    </xdr:from>
    <xdr:to>
      <xdr:col>10</xdr:col>
      <xdr:colOff>38100</xdr:colOff>
      <xdr:row>1</xdr:row>
      <xdr:rowOff>65665</xdr:rowOff>
    </xdr:to>
    <xdr:cxnSp macro="">
      <xdr:nvCxnSpPr>
        <xdr:cNvPr id="3" name="Straight Connector 2"/>
        <xdr:cNvCxnSpPr/>
      </xdr:nvCxnSpPr>
      <xdr:spPr>
        <a:xfrm>
          <a:off x="1552575" y="847725"/>
          <a:ext cx="6858000" cy="8515"/>
        </a:xfrm>
        <a:prstGeom prst="line">
          <a:avLst/>
        </a:prstGeom>
        <a:ln w="12700">
          <a:solidFill>
            <a:schemeClr val="accent1">
              <a:lumMod val="50000"/>
            </a:schemeClr>
          </a:solidFill>
        </a:ln>
        <a:effec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133348</xdr:colOff>
      <xdr:row>2</xdr:row>
      <xdr:rowOff>2384</xdr:rowOff>
    </xdr:from>
    <xdr:to>
      <xdr:col>15</xdr:col>
      <xdr:colOff>204786</xdr:colOff>
      <xdr:row>18</xdr:row>
      <xdr:rowOff>85726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8</xdr:col>
      <xdr:colOff>272141</xdr:colOff>
      <xdr:row>2</xdr:row>
      <xdr:rowOff>167367</xdr:rowOff>
    </xdr:from>
    <xdr:ext cx="2843893" cy="383118"/>
    <xdr:sp macro="" textlink="">
      <xdr:nvSpPr>
        <xdr:cNvPr id="5" name="TextBox 4"/>
        <xdr:cNvSpPr txBox="1"/>
      </xdr:nvSpPr>
      <xdr:spPr>
        <a:xfrm>
          <a:off x="7120616" y="1196067"/>
          <a:ext cx="2843893" cy="38311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pPr algn="l"/>
          <a:r>
            <a:rPr lang="en-US" sz="2000">
              <a:solidFill>
                <a:schemeClr val="accent1">
                  <a:lumMod val="50000"/>
                </a:schemeClr>
              </a:solidFill>
              <a:latin typeface="Franklin Gothic Demi" pitchFamily="34" charset="0"/>
            </a:rPr>
            <a:t>Gastos Mensuales</a:t>
          </a:r>
        </a:p>
      </xdr:txBody>
    </xdr:sp>
    <xdr:clientData/>
  </xdr:oneCellAnchor>
  <xdr:twoCellAnchor>
    <xdr:from>
      <xdr:col>10</xdr:col>
      <xdr:colOff>266699</xdr:colOff>
      <xdr:row>19</xdr:row>
      <xdr:rowOff>476250</xdr:rowOff>
    </xdr:from>
    <xdr:to>
      <xdr:col>19</xdr:col>
      <xdr:colOff>409574</xdr:colOff>
      <xdr:row>34</xdr:row>
      <xdr:rowOff>85725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200025</xdr:colOff>
      <xdr:row>0</xdr:row>
      <xdr:rowOff>28576</xdr:rowOff>
    </xdr:from>
    <xdr:to>
      <xdr:col>1</xdr:col>
      <xdr:colOff>1057275</xdr:colOff>
      <xdr:row>1</xdr:row>
      <xdr:rowOff>158029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28576"/>
          <a:ext cx="1190625" cy="9200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9524</xdr:colOff>
      <xdr:row>0</xdr:row>
      <xdr:rowOff>511753</xdr:rowOff>
    </xdr:from>
    <xdr:ext cx="6467475" cy="297872"/>
    <xdr:sp macro="" textlink="">
      <xdr:nvSpPr>
        <xdr:cNvPr id="2" name="Rectangle 1"/>
        <xdr:cNvSpPr/>
      </xdr:nvSpPr>
      <xdr:spPr>
        <a:xfrm>
          <a:off x="1504949" y="511753"/>
          <a:ext cx="6467475" cy="297872"/>
        </a:xfrm>
        <a:prstGeom prst="rect">
          <a:avLst/>
        </a:prstGeom>
        <a:noFill/>
      </xdr:spPr>
      <xdr:txBody>
        <a:bodyPr wrap="square" lIns="91440" tIns="45720" rIns="91440" bIns="45720" anchor="ctr" anchorCtr="0">
          <a:noAutofit/>
        </a:bodyPr>
        <a:lstStyle/>
        <a:p>
          <a:pPr algn="l"/>
          <a:r>
            <a:rPr lang="en-US" sz="2700" b="1" cap="none" spc="0" baseline="0">
              <a:ln w="9525" cmpd="sng">
                <a:solidFill>
                  <a:srgbClr val="FFFFFF"/>
                </a:solidFill>
                <a:prstDash val="solid"/>
                <a:miter lim="800000"/>
              </a:ln>
              <a:solidFill>
                <a:schemeClr val="accent2">
                  <a:lumMod val="75000"/>
                </a:schemeClr>
              </a:solidFill>
              <a:effectLst/>
              <a:latin typeface="+mj-lt"/>
              <a:ea typeface="Tahoma" pitchFamily="34" charset="0"/>
              <a:cs typeface="Tahoma" pitchFamily="34" charset="0"/>
            </a:rPr>
            <a:t>Presupuesto Mensual del Hogar- Junio</a:t>
          </a:r>
        </a:p>
      </xdr:txBody>
    </xdr:sp>
    <xdr:clientData/>
  </xdr:oneCellAnchor>
  <xdr:twoCellAnchor>
    <xdr:from>
      <xdr:col>2</xdr:col>
      <xdr:colOff>57150</xdr:colOff>
      <xdr:row>1</xdr:row>
      <xdr:rowOff>57150</xdr:rowOff>
    </xdr:from>
    <xdr:to>
      <xdr:col>10</xdr:col>
      <xdr:colOff>38100</xdr:colOff>
      <xdr:row>1</xdr:row>
      <xdr:rowOff>65665</xdr:rowOff>
    </xdr:to>
    <xdr:cxnSp macro="">
      <xdr:nvCxnSpPr>
        <xdr:cNvPr id="3" name="Straight Connector 2"/>
        <xdr:cNvCxnSpPr/>
      </xdr:nvCxnSpPr>
      <xdr:spPr>
        <a:xfrm>
          <a:off x="1552575" y="847725"/>
          <a:ext cx="6858000" cy="8515"/>
        </a:xfrm>
        <a:prstGeom prst="line">
          <a:avLst/>
        </a:prstGeom>
        <a:ln w="12700">
          <a:solidFill>
            <a:schemeClr val="accent1">
              <a:lumMod val="50000"/>
            </a:schemeClr>
          </a:solidFill>
        </a:ln>
        <a:effec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133348</xdr:colOff>
      <xdr:row>2</xdr:row>
      <xdr:rowOff>2384</xdr:rowOff>
    </xdr:from>
    <xdr:to>
      <xdr:col>15</xdr:col>
      <xdr:colOff>204786</xdr:colOff>
      <xdr:row>18</xdr:row>
      <xdr:rowOff>85726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8</xdr:col>
      <xdr:colOff>272141</xdr:colOff>
      <xdr:row>2</xdr:row>
      <xdr:rowOff>167367</xdr:rowOff>
    </xdr:from>
    <xdr:ext cx="2843893" cy="383118"/>
    <xdr:sp macro="" textlink="">
      <xdr:nvSpPr>
        <xdr:cNvPr id="5" name="TextBox 4"/>
        <xdr:cNvSpPr txBox="1"/>
      </xdr:nvSpPr>
      <xdr:spPr>
        <a:xfrm>
          <a:off x="7120616" y="1196067"/>
          <a:ext cx="2843893" cy="38311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pPr algn="l"/>
          <a:r>
            <a:rPr lang="en-US" sz="2000">
              <a:solidFill>
                <a:schemeClr val="accent1">
                  <a:lumMod val="50000"/>
                </a:schemeClr>
              </a:solidFill>
              <a:latin typeface="Franklin Gothic Demi" pitchFamily="34" charset="0"/>
            </a:rPr>
            <a:t>Gastos Mensuales</a:t>
          </a:r>
        </a:p>
      </xdr:txBody>
    </xdr:sp>
    <xdr:clientData/>
  </xdr:oneCellAnchor>
  <xdr:twoCellAnchor>
    <xdr:from>
      <xdr:col>10</xdr:col>
      <xdr:colOff>266699</xdr:colOff>
      <xdr:row>19</xdr:row>
      <xdr:rowOff>476250</xdr:rowOff>
    </xdr:from>
    <xdr:to>
      <xdr:col>19</xdr:col>
      <xdr:colOff>409574</xdr:colOff>
      <xdr:row>34</xdr:row>
      <xdr:rowOff>85725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200025</xdr:colOff>
      <xdr:row>0</xdr:row>
      <xdr:rowOff>28576</xdr:rowOff>
    </xdr:from>
    <xdr:to>
      <xdr:col>1</xdr:col>
      <xdr:colOff>1057275</xdr:colOff>
      <xdr:row>1</xdr:row>
      <xdr:rowOff>158029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28576"/>
          <a:ext cx="1190625" cy="9200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9524</xdr:colOff>
      <xdr:row>0</xdr:row>
      <xdr:rowOff>511753</xdr:rowOff>
    </xdr:from>
    <xdr:ext cx="6467475" cy="297872"/>
    <xdr:sp macro="" textlink="">
      <xdr:nvSpPr>
        <xdr:cNvPr id="2" name="Rectangle 1"/>
        <xdr:cNvSpPr/>
      </xdr:nvSpPr>
      <xdr:spPr>
        <a:xfrm>
          <a:off x="1504949" y="511753"/>
          <a:ext cx="6467475" cy="297872"/>
        </a:xfrm>
        <a:prstGeom prst="rect">
          <a:avLst/>
        </a:prstGeom>
        <a:noFill/>
      </xdr:spPr>
      <xdr:txBody>
        <a:bodyPr wrap="square" lIns="91440" tIns="45720" rIns="91440" bIns="45720" anchor="ctr" anchorCtr="0">
          <a:noAutofit/>
        </a:bodyPr>
        <a:lstStyle/>
        <a:p>
          <a:pPr algn="l"/>
          <a:r>
            <a:rPr lang="en-US" sz="2700" b="1" cap="none" spc="0" baseline="0">
              <a:ln w="9525" cmpd="sng">
                <a:solidFill>
                  <a:srgbClr val="FFFFFF"/>
                </a:solidFill>
                <a:prstDash val="solid"/>
                <a:miter lim="800000"/>
              </a:ln>
              <a:solidFill>
                <a:schemeClr val="accent2">
                  <a:lumMod val="75000"/>
                </a:schemeClr>
              </a:solidFill>
              <a:effectLst/>
              <a:latin typeface="+mj-lt"/>
              <a:ea typeface="Tahoma" pitchFamily="34" charset="0"/>
              <a:cs typeface="Tahoma" pitchFamily="34" charset="0"/>
            </a:rPr>
            <a:t>Presupuesto Mensual del Hogar- Julio</a:t>
          </a:r>
        </a:p>
      </xdr:txBody>
    </xdr:sp>
    <xdr:clientData/>
  </xdr:oneCellAnchor>
  <xdr:twoCellAnchor>
    <xdr:from>
      <xdr:col>2</xdr:col>
      <xdr:colOff>57150</xdr:colOff>
      <xdr:row>1</xdr:row>
      <xdr:rowOff>57150</xdr:rowOff>
    </xdr:from>
    <xdr:to>
      <xdr:col>10</xdr:col>
      <xdr:colOff>38100</xdr:colOff>
      <xdr:row>1</xdr:row>
      <xdr:rowOff>65665</xdr:rowOff>
    </xdr:to>
    <xdr:cxnSp macro="">
      <xdr:nvCxnSpPr>
        <xdr:cNvPr id="3" name="Straight Connector 2"/>
        <xdr:cNvCxnSpPr/>
      </xdr:nvCxnSpPr>
      <xdr:spPr>
        <a:xfrm>
          <a:off x="1552575" y="847725"/>
          <a:ext cx="6858000" cy="8515"/>
        </a:xfrm>
        <a:prstGeom prst="line">
          <a:avLst/>
        </a:prstGeom>
        <a:ln w="12700">
          <a:solidFill>
            <a:schemeClr val="accent1">
              <a:lumMod val="50000"/>
            </a:schemeClr>
          </a:solidFill>
        </a:ln>
        <a:effec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133348</xdr:colOff>
      <xdr:row>2</xdr:row>
      <xdr:rowOff>2384</xdr:rowOff>
    </xdr:from>
    <xdr:to>
      <xdr:col>15</xdr:col>
      <xdr:colOff>204786</xdr:colOff>
      <xdr:row>18</xdr:row>
      <xdr:rowOff>85726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8</xdr:col>
      <xdr:colOff>272141</xdr:colOff>
      <xdr:row>2</xdr:row>
      <xdr:rowOff>167367</xdr:rowOff>
    </xdr:from>
    <xdr:ext cx="2843893" cy="383118"/>
    <xdr:sp macro="" textlink="">
      <xdr:nvSpPr>
        <xdr:cNvPr id="5" name="TextBox 4"/>
        <xdr:cNvSpPr txBox="1"/>
      </xdr:nvSpPr>
      <xdr:spPr>
        <a:xfrm>
          <a:off x="7120616" y="1196067"/>
          <a:ext cx="2843893" cy="38311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pPr algn="l"/>
          <a:r>
            <a:rPr lang="en-US" sz="2000">
              <a:solidFill>
                <a:schemeClr val="accent1">
                  <a:lumMod val="50000"/>
                </a:schemeClr>
              </a:solidFill>
              <a:latin typeface="Franklin Gothic Demi" pitchFamily="34" charset="0"/>
            </a:rPr>
            <a:t>Gastos Mensuales</a:t>
          </a:r>
        </a:p>
      </xdr:txBody>
    </xdr:sp>
    <xdr:clientData/>
  </xdr:oneCellAnchor>
  <xdr:twoCellAnchor>
    <xdr:from>
      <xdr:col>10</xdr:col>
      <xdr:colOff>266699</xdr:colOff>
      <xdr:row>19</xdr:row>
      <xdr:rowOff>476250</xdr:rowOff>
    </xdr:from>
    <xdr:to>
      <xdr:col>19</xdr:col>
      <xdr:colOff>409574</xdr:colOff>
      <xdr:row>34</xdr:row>
      <xdr:rowOff>85725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200025</xdr:colOff>
      <xdr:row>0</xdr:row>
      <xdr:rowOff>28576</xdr:rowOff>
    </xdr:from>
    <xdr:to>
      <xdr:col>1</xdr:col>
      <xdr:colOff>1057275</xdr:colOff>
      <xdr:row>1</xdr:row>
      <xdr:rowOff>158029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28576"/>
          <a:ext cx="1190625" cy="92002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9524</xdr:colOff>
      <xdr:row>0</xdr:row>
      <xdr:rowOff>511753</xdr:rowOff>
    </xdr:from>
    <xdr:ext cx="6467475" cy="297872"/>
    <xdr:sp macro="" textlink="">
      <xdr:nvSpPr>
        <xdr:cNvPr id="2" name="Rectangle 1"/>
        <xdr:cNvSpPr/>
      </xdr:nvSpPr>
      <xdr:spPr>
        <a:xfrm>
          <a:off x="1504949" y="511753"/>
          <a:ext cx="6467475" cy="297872"/>
        </a:xfrm>
        <a:prstGeom prst="rect">
          <a:avLst/>
        </a:prstGeom>
        <a:noFill/>
      </xdr:spPr>
      <xdr:txBody>
        <a:bodyPr wrap="square" lIns="91440" tIns="45720" rIns="91440" bIns="45720" anchor="ctr" anchorCtr="0">
          <a:noAutofit/>
        </a:bodyPr>
        <a:lstStyle/>
        <a:p>
          <a:pPr algn="l"/>
          <a:r>
            <a:rPr lang="en-US" sz="2700" b="1" cap="none" spc="0" baseline="0">
              <a:ln w="9525" cmpd="sng">
                <a:solidFill>
                  <a:srgbClr val="FFFFFF"/>
                </a:solidFill>
                <a:prstDash val="solid"/>
                <a:miter lim="800000"/>
              </a:ln>
              <a:solidFill>
                <a:schemeClr val="accent2">
                  <a:lumMod val="75000"/>
                </a:schemeClr>
              </a:solidFill>
              <a:effectLst/>
              <a:latin typeface="+mj-lt"/>
              <a:ea typeface="Tahoma" pitchFamily="34" charset="0"/>
              <a:cs typeface="Tahoma" pitchFamily="34" charset="0"/>
            </a:rPr>
            <a:t>Presupuesto Mensual del Hogar- Agosto</a:t>
          </a:r>
        </a:p>
      </xdr:txBody>
    </xdr:sp>
    <xdr:clientData/>
  </xdr:oneCellAnchor>
  <xdr:twoCellAnchor>
    <xdr:from>
      <xdr:col>2</xdr:col>
      <xdr:colOff>57150</xdr:colOff>
      <xdr:row>1</xdr:row>
      <xdr:rowOff>57150</xdr:rowOff>
    </xdr:from>
    <xdr:to>
      <xdr:col>10</xdr:col>
      <xdr:colOff>38100</xdr:colOff>
      <xdr:row>1</xdr:row>
      <xdr:rowOff>65665</xdr:rowOff>
    </xdr:to>
    <xdr:cxnSp macro="">
      <xdr:nvCxnSpPr>
        <xdr:cNvPr id="3" name="Straight Connector 2"/>
        <xdr:cNvCxnSpPr/>
      </xdr:nvCxnSpPr>
      <xdr:spPr>
        <a:xfrm>
          <a:off x="1552575" y="847725"/>
          <a:ext cx="6858000" cy="8515"/>
        </a:xfrm>
        <a:prstGeom prst="line">
          <a:avLst/>
        </a:prstGeom>
        <a:ln w="12700">
          <a:solidFill>
            <a:schemeClr val="accent1">
              <a:lumMod val="50000"/>
            </a:schemeClr>
          </a:solidFill>
        </a:ln>
        <a:effec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133348</xdr:colOff>
      <xdr:row>2</xdr:row>
      <xdr:rowOff>2384</xdr:rowOff>
    </xdr:from>
    <xdr:to>
      <xdr:col>15</xdr:col>
      <xdr:colOff>204786</xdr:colOff>
      <xdr:row>18</xdr:row>
      <xdr:rowOff>85726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8</xdr:col>
      <xdr:colOff>272141</xdr:colOff>
      <xdr:row>2</xdr:row>
      <xdr:rowOff>167367</xdr:rowOff>
    </xdr:from>
    <xdr:ext cx="2843893" cy="383118"/>
    <xdr:sp macro="" textlink="">
      <xdr:nvSpPr>
        <xdr:cNvPr id="5" name="TextBox 4"/>
        <xdr:cNvSpPr txBox="1"/>
      </xdr:nvSpPr>
      <xdr:spPr>
        <a:xfrm>
          <a:off x="7120616" y="1196067"/>
          <a:ext cx="2843893" cy="38311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pPr algn="l"/>
          <a:r>
            <a:rPr lang="en-US" sz="2000">
              <a:solidFill>
                <a:schemeClr val="accent1">
                  <a:lumMod val="50000"/>
                </a:schemeClr>
              </a:solidFill>
              <a:latin typeface="Franklin Gothic Demi" pitchFamily="34" charset="0"/>
            </a:rPr>
            <a:t>Gastos Mensuales</a:t>
          </a:r>
        </a:p>
      </xdr:txBody>
    </xdr:sp>
    <xdr:clientData/>
  </xdr:oneCellAnchor>
  <xdr:twoCellAnchor>
    <xdr:from>
      <xdr:col>10</xdr:col>
      <xdr:colOff>266699</xdr:colOff>
      <xdr:row>19</xdr:row>
      <xdr:rowOff>476250</xdr:rowOff>
    </xdr:from>
    <xdr:to>
      <xdr:col>19</xdr:col>
      <xdr:colOff>409574</xdr:colOff>
      <xdr:row>34</xdr:row>
      <xdr:rowOff>85725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200025</xdr:colOff>
      <xdr:row>0</xdr:row>
      <xdr:rowOff>28576</xdr:rowOff>
    </xdr:from>
    <xdr:to>
      <xdr:col>1</xdr:col>
      <xdr:colOff>1057275</xdr:colOff>
      <xdr:row>1</xdr:row>
      <xdr:rowOff>158029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28576"/>
          <a:ext cx="1190625" cy="92002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9524</xdr:colOff>
      <xdr:row>0</xdr:row>
      <xdr:rowOff>511753</xdr:rowOff>
    </xdr:from>
    <xdr:ext cx="7448551" cy="297872"/>
    <xdr:sp macro="" textlink="">
      <xdr:nvSpPr>
        <xdr:cNvPr id="2" name="Rectangle 1"/>
        <xdr:cNvSpPr/>
      </xdr:nvSpPr>
      <xdr:spPr>
        <a:xfrm>
          <a:off x="1504949" y="511753"/>
          <a:ext cx="7448551" cy="297872"/>
        </a:xfrm>
        <a:prstGeom prst="rect">
          <a:avLst/>
        </a:prstGeom>
        <a:noFill/>
      </xdr:spPr>
      <xdr:txBody>
        <a:bodyPr wrap="square" lIns="91440" tIns="45720" rIns="91440" bIns="45720" anchor="ctr" anchorCtr="0">
          <a:noAutofit/>
        </a:bodyPr>
        <a:lstStyle/>
        <a:p>
          <a:pPr algn="l"/>
          <a:r>
            <a:rPr lang="en-US" sz="2700" b="1" cap="none" spc="0" baseline="0">
              <a:ln w="9525" cmpd="sng">
                <a:solidFill>
                  <a:srgbClr val="FFFFFF"/>
                </a:solidFill>
                <a:prstDash val="solid"/>
                <a:miter lim="800000"/>
              </a:ln>
              <a:solidFill>
                <a:schemeClr val="accent2">
                  <a:lumMod val="75000"/>
                </a:schemeClr>
              </a:solidFill>
              <a:effectLst/>
              <a:latin typeface="+mj-lt"/>
              <a:ea typeface="Tahoma" pitchFamily="34" charset="0"/>
              <a:cs typeface="Tahoma" pitchFamily="34" charset="0"/>
            </a:rPr>
            <a:t>Presupuesto Mensual del Hogar- Septiembre</a:t>
          </a:r>
        </a:p>
      </xdr:txBody>
    </xdr:sp>
    <xdr:clientData/>
  </xdr:oneCellAnchor>
  <xdr:twoCellAnchor>
    <xdr:from>
      <xdr:col>2</xdr:col>
      <xdr:colOff>57150</xdr:colOff>
      <xdr:row>1</xdr:row>
      <xdr:rowOff>57150</xdr:rowOff>
    </xdr:from>
    <xdr:to>
      <xdr:col>10</xdr:col>
      <xdr:colOff>38100</xdr:colOff>
      <xdr:row>1</xdr:row>
      <xdr:rowOff>65665</xdr:rowOff>
    </xdr:to>
    <xdr:cxnSp macro="">
      <xdr:nvCxnSpPr>
        <xdr:cNvPr id="3" name="Straight Connector 2"/>
        <xdr:cNvCxnSpPr/>
      </xdr:nvCxnSpPr>
      <xdr:spPr>
        <a:xfrm>
          <a:off x="1552575" y="847725"/>
          <a:ext cx="6858000" cy="8515"/>
        </a:xfrm>
        <a:prstGeom prst="line">
          <a:avLst/>
        </a:prstGeom>
        <a:ln w="12700">
          <a:solidFill>
            <a:schemeClr val="accent1">
              <a:lumMod val="50000"/>
            </a:schemeClr>
          </a:solidFill>
        </a:ln>
        <a:effec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133348</xdr:colOff>
      <xdr:row>2</xdr:row>
      <xdr:rowOff>2384</xdr:rowOff>
    </xdr:from>
    <xdr:to>
      <xdr:col>15</xdr:col>
      <xdr:colOff>204786</xdr:colOff>
      <xdr:row>18</xdr:row>
      <xdr:rowOff>85726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8</xdr:col>
      <xdr:colOff>272141</xdr:colOff>
      <xdr:row>2</xdr:row>
      <xdr:rowOff>167367</xdr:rowOff>
    </xdr:from>
    <xdr:ext cx="2843893" cy="383118"/>
    <xdr:sp macro="" textlink="">
      <xdr:nvSpPr>
        <xdr:cNvPr id="5" name="TextBox 4"/>
        <xdr:cNvSpPr txBox="1"/>
      </xdr:nvSpPr>
      <xdr:spPr>
        <a:xfrm>
          <a:off x="7120616" y="1196067"/>
          <a:ext cx="2843893" cy="38311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pPr algn="l"/>
          <a:r>
            <a:rPr lang="en-US" sz="2000">
              <a:solidFill>
                <a:schemeClr val="accent1">
                  <a:lumMod val="50000"/>
                </a:schemeClr>
              </a:solidFill>
              <a:latin typeface="Franklin Gothic Demi" pitchFamily="34" charset="0"/>
            </a:rPr>
            <a:t>Gastos Mensuales</a:t>
          </a:r>
        </a:p>
      </xdr:txBody>
    </xdr:sp>
    <xdr:clientData/>
  </xdr:oneCellAnchor>
  <xdr:twoCellAnchor>
    <xdr:from>
      <xdr:col>10</xdr:col>
      <xdr:colOff>266699</xdr:colOff>
      <xdr:row>19</xdr:row>
      <xdr:rowOff>476250</xdr:rowOff>
    </xdr:from>
    <xdr:to>
      <xdr:col>19</xdr:col>
      <xdr:colOff>409574</xdr:colOff>
      <xdr:row>34</xdr:row>
      <xdr:rowOff>85725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200025</xdr:colOff>
      <xdr:row>0</xdr:row>
      <xdr:rowOff>28576</xdr:rowOff>
    </xdr:from>
    <xdr:to>
      <xdr:col>1</xdr:col>
      <xdr:colOff>1057275</xdr:colOff>
      <xdr:row>1</xdr:row>
      <xdr:rowOff>158029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28576"/>
          <a:ext cx="1190625" cy="920028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33" name="Housing11134" displayName="Housing11134" ref="B14:E25" totalsRowCount="1" headerRowDxfId="287" dataDxfId="286" totalsRowDxfId="285" tableBorderDxfId="284">
  <autoFilter ref="B14:E24"/>
  <tableColumns count="4">
    <tableColumn id="1" name="Vivienda" totalsRowLabel="Total" dataDxfId="282" totalsRowDxfId="283"/>
    <tableColumn id="2" name="Costo Presupuestado" totalsRowFunction="sum" dataDxfId="280" totalsRowDxfId="281"/>
    <tableColumn id="3" name="Costo Real" totalsRowFunction="sum" dataDxfId="278" totalsRowDxfId="279"/>
    <tableColumn id="4" name="Diferencia" totalsRowFunction="sum" dataDxfId="276" totalsRowDxfId="277">
      <calculatedColumnFormula>Housing11134[Costo Presupuestado]-Housing11134[Costo Real]</calculatedColumnFormula>
    </tableColumn>
  </tableColumns>
  <tableStyleInfo name="TableStyleLight2" showFirstColumn="0" showLastColumn="0" showRowStripes="1" showColumnStripes="0"/>
</table>
</file>

<file path=xl/tables/table10.xml><?xml version="1.0" encoding="utf-8"?>
<table xmlns="http://schemas.openxmlformats.org/spreadsheetml/2006/main" id="142" name="Savings23143" displayName="Savings23143" ref="B6:E12" totalsRowCount="1" headerRowDxfId="179" dataDxfId="178" totalsRowDxfId="177" tableBorderDxfId="176">
  <autoFilter ref="B6:E11"/>
  <tableColumns count="4">
    <tableColumn id="1" name="Ahorro/ Inversiones" totalsRowLabel="Total" dataDxfId="174" totalsRowDxfId="175"/>
    <tableColumn id="2" name="Costo Presupuestado" totalsRowFunction="sum" dataDxfId="172" totalsRowDxfId="173"/>
    <tableColumn id="3" name="Costo Real" totalsRowFunction="sum" dataDxfId="170" totalsRowDxfId="171"/>
    <tableColumn id="4" name="Diferencia" totalsRowFunction="sum" dataDxfId="168" totalsRowDxfId="169">
      <calculatedColumnFormula>Savings23143[Costo Presupuestado]-Savings23143[Costo Real]</calculatedColumnFormula>
    </tableColumn>
  </tableColumns>
  <tableStyleInfo name="TableStyleLight2" showFirstColumn="0" showLastColumn="0" showRowStripes="1" showColumnStripes="0"/>
</table>
</file>

<file path=xl/tables/table100.xml><?xml version="1.0" encoding="utf-8"?>
<table xmlns="http://schemas.openxmlformats.org/spreadsheetml/2006/main" id="88" name="Food17294153657789" displayName="Food17294153657789" ref="B44:E48" totalsRowCount="1" headerRowDxfId="827" dataDxfId="826" totalsRowDxfId="825" tableBorderDxfId="824">
  <autoFilter ref="B44:E47"/>
  <tableColumns count="4">
    <tableColumn id="1" name="Comida" totalsRowLabel="Total" dataDxfId="822" totalsRowDxfId="823"/>
    <tableColumn id="2" name="Costo Presupuestado" totalsRowFunction="sum" dataDxfId="820" totalsRowDxfId="821"/>
    <tableColumn id="3" name="Costo Real" totalsRowFunction="sum" dataDxfId="818" totalsRowDxfId="819"/>
    <tableColumn id="4" name="Diferencia" totalsRowFunction="sum" dataDxfId="816" totalsRowDxfId="817">
      <calculatedColumnFormula>Food17294153657789[Costo Presupuestado]-Food17294153657789[Costo Real]</calculatedColumnFormula>
    </tableColumn>
  </tableColumns>
  <tableStyleInfo name="TableStyleLight2" showFirstColumn="0" showLastColumn="0" showRowStripes="1" showColumnStripes="0"/>
</table>
</file>

<file path=xl/tables/table101.xml><?xml version="1.0" encoding="utf-8"?>
<table xmlns="http://schemas.openxmlformats.org/spreadsheetml/2006/main" id="89" name="Children18304254667890" displayName="Children18304254667890" ref="B50:E60" totalsRowCount="1" headerRowDxfId="815" dataDxfId="814" totalsRowDxfId="813" tableBorderDxfId="812">
  <autoFilter ref="B50:E59"/>
  <tableColumns count="4">
    <tableColumn id="1" name="Niños" totalsRowLabel="Total" dataDxfId="810" totalsRowDxfId="811"/>
    <tableColumn id="2" name="Costo Presupuestado" totalsRowFunction="sum" dataDxfId="808" totalsRowDxfId="809"/>
    <tableColumn id="3" name="Costo Real" totalsRowFunction="sum" dataDxfId="806" totalsRowDxfId="807"/>
    <tableColumn id="4" name="Diferencia" totalsRowFunction="sum" dataDxfId="804" totalsRowDxfId="805">
      <calculatedColumnFormula>Children18304254667890[Costo Presupuestado]-Children18304254667890[Costo Real]</calculatedColumnFormula>
    </tableColumn>
  </tableColumns>
  <tableStyleInfo name="TableStyleLight2" showFirstColumn="0" showLastColumn="0" showRowStripes="1" showColumnStripes="0"/>
</table>
</file>

<file path=xl/tables/table102.xml><?xml version="1.0" encoding="utf-8"?>
<table xmlns="http://schemas.openxmlformats.org/spreadsheetml/2006/main" id="90" name="Pets19314355677991" displayName="Pets19314355677991" ref="G36:J42" totalsRowCount="1" headerRowDxfId="803" dataDxfId="802" totalsRowDxfId="801" tableBorderDxfId="800">
  <autoFilter ref="G36:J41"/>
  <tableColumns count="4">
    <tableColumn id="1" name="Mascotas" totalsRowLabel="Total" dataDxfId="798" totalsRowDxfId="799"/>
    <tableColumn id="2" name="Costo Presupuestado" totalsRowFunction="sum" dataDxfId="796" totalsRowDxfId="797"/>
    <tableColumn id="3" name="Costo Real" totalsRowFunction="sum" dataDxfId="794" totalsRowDxfId="795"/>
    <tableColumn id="4" name="Diferencia" totalsRowFunction="sum" dataDxfId="792" totalsRowDxfId="793">
      <calculatedColumnFormula>Pets19314355677991[Costo Presupuestado]-Pets19314355677991[Costo Real]</calculatedColumnFormula>
    </tableColumn>
  </tableColumns>
  <tableStyleInfo name="TableStyleLight2" showFirstColumn="0" showLastColumn="0" showRowStripes="1" showColumnStripes="0"/>
</table>
</file>

<file path=xl/tables/table103.xml><?xml version="1.0" encoding="utf-8"?>
<table xmlns="http://schemas.openxmlformats.org/spreadsheetml/2006/main" id="91" name="PersonalCare20324456688092" displayName="PersonalCare20324456688092" ref="G44:J51" totalsRowCount="1" headerRowDxfId="791" dataDxfId="790" totalsRowDxfId="789" tableBorderDxfId="788">
  <autoFilter ref="G44:J50"/>
  <tableColumns count="4">
    <tableColumn id="1" name="Cuidado Personal" totalsRowLabel="Total" dataDxfId="786" totalsRowDxfId="787"/>
    <tableColumn id="2" name="Costo Presupuestado" totalsRowFunction="sum" dataDxfId="784" totalsRowDxfId="785"/>
    <tableColumn id="3" name="Costo Real" totalsRowFunction="sum" dataDxfId="782" totalsRowDxfId="783"/>
    <tableColumn id="4" name="Diferencia" totalsRowFunction="sum" dataDxfId="780" totalsRowDxfId="781">
      <calculatedColumnFormula>PersonalCare20324456688092[Costo Presupuestado]-PersonalCare20324456688092[Costo Real]</calculatedColumnFormula>
    </tableColumn>
  </tableColumns>
  <tableStyleInfo name="TableStyleLight2" showFirstColumn="0" showLastColumn="0" showRowStripes="1" showColumnStripes="0"/>
</table>
</file>

<file path=xl/tables/table104.xml><?xml version="1.0" encoding="utf-8"?>
<table xmlns="http://schemas.openxmlformats.org/spreadsheetml/2006/main" id="92" name="Entertainment21334557698193" displayName="Entertainment21334557698193" ref="G20:J28" totalsRowCount="1" headerRowDxfId="779" dataDxfId="778" totalsRowDxfId="777" tableBorderDxfId="776">
  <autoFilter ref="G20:J27"/>
  <tableColumns count="4">
    <tableColumn id="1" name="Entretenimiento" totalsRowLabel="Total" dataDxfId="774" totalsRowDxfId="775"/>
    <tableColumn id="2" name="Costo Presupuestado" totalsRowFunction="sum" dataDxfId="772" totalsRowDxfId="773"/>
    <tableColumn id="3" name="Costo Real" totalsRowFunction="sum" dataDxfId="770" totalsRowDxfId="771"/>
    <tableColumn id="4" name="Diferencia" totalsRowFunction="sum" dataDxfId="768" totalsRowDxfId="769">
      <calculatedColumnFormula>Entertainment21334557698193[Costo Presupuestado]-Entertainment21334557698193[Costo Real]</calculatedColumnFormula>
    </tableColumn>
  </tableColumns>
  <tableStyleInfo name="TableStyleLight2" showFirstColumn="0" showLastColumn="0" showRowStripes="1" showColumnStripes="0"/>
</table>
</file>

<file path=xl/tables/table105.xml><?xml version="1.0" encoding="utf-8"?>
<table xmlns="http://schemas.openxmlformats.org/spreadsheetml/2006/main" id="93" name="Loans22344658708294" displayName="Loans22344658708294" ref="G53:J60" totalsRowCount="1" headerRowDxfId="767" dataDxfId="766" totalsRowDxfId="765" tableBorderDxfId="764">
  <autoFilter ref="G53:J59"/>
  <tableColumns count="4">
    <tableColumn id="1" name="Gastos Financieros/ Prestamos" totalsRowLabel="Total" dataDxfId="762" totalsRowDxfId="763"/>
    <tableColumn id="2" name="Costo Presupuestado" totalsRowFunction="sum" dataDxfId="760" totalsRowDxfId="761"/>
    <tableColumn id="3" name="Costo Real" totalsRowFunction="sum" dataDxfId="758" totalsRowDxfId="759"/>
    <tableColumn id="4" name="Diferencia" totalsRowFunction="sum" dataDxfId="756" totalsRowDxfId="757">
      <calculatedColumnFormula>Loans22344658708294[Costo Presupuestado]-Loans22344658708294[Costo Real]</calculatedColumnFormula>
    </tableColumn>
  </tableColumns>
  <tableStyleInfo name="TableStyleLight2" showFirstColumn="0" showLastColumn="0" showRowStripes="1" showColumnStripes="0"/>
</table>
</file>

<file path=xl/tables/table106.xml><?xml version="1.0" encoding="utf-8"?>
<table xmlns="http://schemas.openxmlformats.org/spreadsheetml/2006/main" id="94" name="Savings23354759718395" displayName="Savings23354759718395" ref="B6:E12" totalsRowCount="1" headerRowDxfId="755" dataDxfId="754" totalsRowDxfId="753" tableBorderDxfId="752">
  <autoFilter ref="B6:E11"/>
  <tableColumns count="4">
    <tableColumn id="1" name="Ahorro/ Inversiones" totalsRowLabel="Total" dataDxfId="750" totalsRowDxfId="751"/>
    <tableColumn id="2" name="Costo Presupuestado" totalsRowFunction="sum" dataDxfId="748" totalsRowDxfId="749"/>
    <tableColumn id="3" name="Costo Real" totalsRowFunction="sum" dataDxfId="746" totalsRowDxfId="747"/>
    <tableColumn id="4" name="Diferencia" totalsRowFunction="sum" dataDxfId="744" totalsRowDxfId="745">
      <calculatedColumnFormula>Savings23354759718395[Costo Presupuestado]-Savings23354759718395[Costo Real]</calculatedColumnFormula>
    </tableColumn>
  </tableColumns>
  <tableStyleInfo name="TableStyleLight2" showFirstColumn="0" showLastColumn="0" showRowStripes="1" showColumnStripes="0"/>
</table>
</file>

<file path=xl/tables/table107.xml><?xml version="1.0" encoding="utf-8"?>
<table xmlns="http://schemas.openxmlformats.org/spreadsheetml/2006/main" id="95" name="Gifts24364860728496" displayName="Gifts24364860728496" ref="G30:J34" totalsRowCount="1" headerRowDxfId="743" dataDxfId="742" totalsRowDxfId="741" tableBorderDxfId="740">
  <autoFilter ref="G30:J33"/>
  <tableColumns count="4">
    <tableColumn id="1" name="Regalos y Donaciones" totalsRowLabel="Total" dataDxfId="738" totalsRowDxfId="739"/>
    <tableColumn id="2" name="Costo Presupuestado" totalsRowFunction="sum" dataDxfId="736" totalsRowDxfId="737"/>
    <tableColumn id="3" name="Costo Real" totalsRowFunction="sum" dataDxfId="734" totalsRowDxfId="735"/>
    <tableColumn id="4" name="Diferencia" totalsRowFunction="sum" dataDxfId="732" totalsRowDxfId="733">
      <calculatedColumnFormula>Gifts24364860728496[Costo Presupuestado]-Gifts24364860728496[Costo Real]</calculatedColumnFormula>
    </tableColumn>
  </tableColumns>
  <tableStyleInfo name="TableStyleLight2" showFirstColumn="0" showLastColumn="0" showRowStripes="1" showColumnStripes="0"/>
</table>
</file>

<file path=xl/tables/table108.xml><?xml version="1.0" encoding="utf-8"?>
<table xmlns="http://schemas.openxmlformats.org/spreadsheetml/2006/main" id="96" name="Legal25374961738597" displayName="Legal25374961738597" ref="G62:J66" totalsRowCount="1" headerRowDxfId="731" dataDxfId="730" totalsRowDxfId="729" tableBorderDxfId="728">
  <autoFilter ref="G62:J65"/>
  <tableColumns count="4">
    <tableColumn id="1" name="Gastos Legales" totalsRowLabel="Total" dataDxfId="726" totalsRowDxfId="727"/>
    <tableColumn id="2" name="Costo Presupuestado" totalsRowFunction="sum" dataDxfId="724" totalsRowDxfId="725"/>
    <tableColumn id="3" name="Costo Real" totalsRowFunction="sum" dataDxfId="722" totalsRowDxfId="723"/>
    <tableColumn id="4" name="Diferencia" totalsRowFunction="sum" dataDxfId="720" totalsRowDxfId="721">
      <calculatedColumnFormula>Legal25374961738597[Costo Presupuestado]-Legal25374961738597[Costo Real]</calculatedColumnFormula>
    </tableColumn>
  </tableColumns>
  <tableStyleInfo name="TableStyleLight2" showFirstColumn="0" showLastColumn="0" showRowStripes="1" showColumnStripes="0"/>
</table>
</file>

<file path=xl/tables/table109.xml><?xml version="1.0" encoding="utf-8"?>
<table xmlns="http://schemas.openxmlformats.org/spreadsheetml/2006/main" id="97" name="Housing1126385062748698" displayName="Housing1126385062748698" ref="B14:E25" totalsRowCount="1" headerRowDxfId="719" dataDxfId="718" totalsRowDxfId="717" tableBorderDxfId="716">
  <autoFilter ref="B14:E24"/>
  <tableColumns count="4">
    <tableColumn id="1" name="Vivienda" totalsRowLabel="Total" dataDxfId="714" totalsRowDxfId="715"/>
    <tableColumn id="2" name="Costo Presupuestado" totalsRowFunction="sum" dataDxfId="712" totalsRowDxfId="713"/>
    <tableColumn id="3" name="Costo Real" totalsRowFunction="sum" dataDxfId="710" totalsRowDxfId="711"/>
    <tableColumn id="4" name="Diferencia" totalsRowFunction="sum" dataDxfId="708" totalsRowDxfId="709">
      <calculatedColumnFormula>Housing1126385062748698[Costo Presupuestado]-Housing1126385062748698[Costo Real]</calculatedColumnFormula>
    </tableColumn>
  </tableColumns>
  <tableStyleInfo name="TableStyleLight2" showFirstColumn="0" showLastColumn="0" showRowStripes="1" showColumnStripes="0"/>
</table>
</file>

<file path=xl/tables/table11.xml><?xml version="1.0" encoding="utf-8"?>
<table xmlns="http://schemas.openxmlformats.org/spreadsheetml/2006/main" id="143" name="Gifts24144" displayName="Gifts24144" ref="G30:J34" totalsRowCount="1" headerRowDxfId="167" dataDxfId="166" totalsRowDxfId="165" tableBorderDxfId="164">
  <autoFilter ref="G30:J33"/>
  <tableColumns count="4">
    <tableColumn id="1" name="Regalos y Donaciones" totalsRowLabel="Total" dataDxfId="162" totalsRowDxfId="163"/>
    <tableColumn id="2" name="Costo Presupuestado" totalsRowFunction="sum" dataDxfId="160" totalsRowDxfId="161"/>
    <tableColumn id="3" name="Costo Real" totalsRowFunction="sum" dataDxfId="158" totalsRowDxfId="159"/>
    <tableColumn id="4" name="Diferencia" totalsRowFunction="sum" dataDxfId="156" totalsRowDxfId="157">
      <calculatedColumnFormula>Gifts24144[Costo Presupuestado]-Gifts24144[Costo Real]</calculatedColumnFormula>
    </tableColumn>
  </tableColumns>
  <tableStyleInfo name="TableStyleLight2" showFirstColumn="0" showLastColumn="0" showRowStripes="1" showColumnStripes="0"/>
</table>
</file>

<file path=xl/tables/table110.xml><?xml version="1.0" encoding="utf-8"?>
<table xmlns="http://schemas.openxmlformats.org/spreadsheetml/2006/main" id="98" name="Transportation1527395163758799" displayName="Transportation1527395163758799" ref="B27:E35" totalsRowCount="1" headerRowDxfId="707" dataDxfId="706" totalsRowDxfId="705" tableBorderDxfId="704">
  <autoFilter ref="B27:E34"/>
  <tableColumns count="4">
    <tableColumn id="1" name="Transporte" totalsRowLabel="Total" dataDxfId="702" totalsRowDxfId="703"/>
    <tableColumn id="2" name="Costo Presupuestado" totalsRowFunction="sum" dataDxfId="700" totalsRowDxfId="701"/>
    <tableColumn id="3" name="Costo Real" totalsRowFunction="sum" dataDxfId="698" totalsRowDxfId="699"/>
    <tableColumn id="4" name="Diferencia" totalsRowFunction="sum" dataDxfId="696" totalsRowDxfId="697">
      <calculatedColumnFormula>Transportation1527395163758799[Costo Presupuestado]-Transportation1527395163758799[Costo Real]</calculatedColumnFormula>
    </tableColumn>
  </tableColumns>
  <tableStyleInfo name="TableStyleLight2" showFirstColumn="0" showLastColumn="0" showRowStripes="1" showColumnStripes="0"/>
</table>
</file>

<file path=xl/tables/table111.xml><?xml version="1.0" encoding="utf-8"?>
<table xmlns="http://schemas.openxmlformats.org/spreadsheetml/2006/main" id="99" name="Insurance16284052647688100" displayName="Insurance16284052647688100" ref="B37:E42" totalsRowCount="1" headerRowDxfId="695" dataDxfId="694" totalsRowDxfId="693" tableBorderDxfId="692">
  <autoFilter ref="B37:E41"/>
  <tableColumns count="4">
    <tableColumn id="1" name="Seguros" totalsRowLabel="Total" dataDxfId="690" totalsRowDxfId="691"/>
    <tableColumn id="2" name="Costo Presupuestado" totalsRowFunction="sum" dataDxfId="688" totalsRowDxfId="689"/>
    <tableColumn id="3" name="Costo Real" totalsRowFunction="sum" dataDxfId="686" totalsRowDxfId="687"/>
    <tableColumn id="4" name="Diferencia" totalsRowFunction="sum" dataDxfId="684" totalsRowDxfId="685">
      <calculatedColumnFormula>Insurance16284052647688100[Costo Presupuestado]-Insurance16284052647688100[Costo Real]</calculatedColumnFormula>
    </tableColumn>
  </tableColumns>
  <tableStyleInfo name="TableStyleLight2" showFirstColumn="0" showLastColumn="0" showRowStripes="1" showColumnStripes="0"/>
</table>
</file>

<file path=xl/tables/table112.xml><?xml version="1.0" encoding="utf-8"?>
<table xmlns="http://schemas.openxmlformats.org/spreadsheetml/2006/main" id="100" name="Food17294153657789101" displayName="Food17294153657789101" ref="B44:E48" totalsRowCount="1" headerRowDxfId="683" dataDxfId="682" totalsRowDxfId="681" tableBorderDxfId="680">
  <autoFilter ref="B44:E47"/>
  <tableColumns count="4">
    <tableColumn id="1" name="Comida" totalsRowLabel="Total" dataDxfId="678" totalsRowDxfId="679"/>
    <tableColumn id="2" name="Costo Presupuestado" totalsRowFunction="sum" dataDxfId="676" totalsRowDxfId="677"/>
    <tableColumn id="3" name="Costo Real" totalsRowFunction="sum" dataDxfId="674" totalsRowDxfId="675"/>
    <tableColumn id="4" name="Diferencia" totalsRowFunction="sum" dataDxfId="672" totalsRowDxfId="673">
      <calculatedColumnFormula>Food17294153657789101[Costo Presupuestado]-Food17294153657789101[Costo Real]</calculatedColumnFormula>
    </tableColumn>
  </tableColumns>
  <tableStyleInfo name="TableStyleLight2" showFirstColumn="0" showLastColumn="0" showRowStripes="1" showColumnStripes="0"/>
</table>
</file>

<file path=xl/tables/table113.xml><?xml version="1.0" encoding="utf-8"?>
<table xmlns="http://schemas.openxmlformats.org/spreadsheetml/2006/main" id="101" name="Children18304254667890102" displayName="Children18304254667890102" ref="B50:E60" totalsRowCount="1" headerRowDxfId="671" dataDxfId="670" totalsRowDxfId="669" tableBorderDxfId="668">
  <autoFilter ref="B50:E59"/>
  <tableColumns count="4">
    <tableColumn id="1" name="Niños" totalsRowLabel="Total" dataDxfId="666" totalsRowDxfId="667"/>
    <tableColumn id="2" name="Costo Presupuestado" totalsRowFunction="sum" dataDxfId="664" totalsRowDxfId="665"/>
    <tableColumn id="3" name="Costo Real" totalsRowFunction="sum" dataDxfId="662" totalsRowDxfId="663"/>
    <tableColumn id="4" name="Diferencia" totalsRowFunction="sum" dataDxfId="660" totalsRowDxfId="661">
      <calculatedColumnFormula>Children18304254667890102[Costo Presupuestado]-Children18304254667890102[Costo Real]</calculatedColumnFormula>
    </tableColumn>
  </tableColumns>
  <tableStyleInfo name="TableStyleLight2" showFirstColumn="0" showLastColumn="0" showRowStripes="1" showColumnStripes="0"/>
</table>
</file>

<file path=xl/tables/table114.xml><?xml version="1.0" encoding="utf-8"?>
<table xmlns="http://schemas.openxmlformats.org/spreadsheetml/2006/main" id="102" name="Pets19314355677991103" displayName="Pets19314355677991103" ref="G36:J42" totalsRowCount="1" headerRowDxfId="659" dataDxfId="658" totalsRowDxfId="657" tableBorderDxfId="656">
  <autoFilter ref="G36:J41"/>
  <tableColumns count="4">
    <tableColumn id="1" name="Mascotas" totalsRowLabel="Total" dataDxfId="654" totalsRowDxfId="655"/>
    <tableColumn id="2" name="Costo Presupuestado" totalsRowFunction="sum" dataDxfId="652" totalsRowDxfId="653"/>
    <tableColumn id="3" name="Costo Real" totalsRowFunction="sum" dataDxfId="650" totalsRowDxfId="651"/>
    <tableColumn id="4" name="Diferencia" totalsRowFunction="sum" dataDxfId="648" totalsRowDxfId="649">
      <calculatedColumnFormula>Pets19314355677991103[Costo Presupuestado]-Pets19314355677991103[Costo Real]</calculatedColumnFormula>
    </tableColumn>
  </tableColumns>
  <tableStyleInfo name="TableStyleLight2" showFirstColumn="0" showLastColumn="0" showRowStripes="1" showColumnStripes="0"/>
</table>
</file>

<file path=xl/tables/table115.xml><?xml version="1.0" encoding="utf-8"?>
<table xmlns="http://schemas.openxmlformats.org/spreadsheetml/2006/main" id="103" name="PersonalCare20324456688092104" displayName="PersonalCare20324456688092104" ref="G44:J51" totalsRowCount="1" headerRowDxfId="647" dataDxfId="646" totalsRowDxfId="645" tableBorderDxfId="644">
  <autoFilter ref="G44:J50"/>
  <tableColumns count="4">
    <tableColumn id="1" name="Cuidado Personal" totalsRowLabel="Total" dataDxfId="642" totalsRowDxfId="643"/>
    <tableColumn id="2" name="Costo Presupuestado" totalsRowFunction="sum" dataDxfId="640" totalsRowDxfId="641"/>
    <tableColumn id="3" name="Costo Real" totalsRowFunction="sum" dataDxfId="638" totalsRowDxfId="639"/>
    <tableColumn id="4" name="Diferencia" totalsRowFunction="sum" dataDxfId="636" totalsRowDxfId="637">
      <calculatedColumnFormula>PersonalCare20324456688092104[Costo Presupuestado]-PersonalCare20324456688092104[Costo Real]</calculatedColumnFormula>
    </tableColumn>
  </tableColumns>
  <tableStyleInfo name="TableStyleLight2" showFirstColumn="0" showLastColumn="0" showRowStripes="1" showColumnStripes="0"/>
</table>
</file>

<file path=xl/tables/table116.xml><?xml version="1.0" encoding="utf-8"?>
<table xmlns="http://schemas.openxmlformats.org/spreadsheetml/2006/main" id="104" name="Entertainment21334557698193105" displayName="Entertainment21334557698193105" ref="G20:J28" totalsRowCount="1" headerRowDxfId="635" dataDxfId="634" totalsRowDxfId="633" tableBorderDxfId="632">
  <autoFilter ref="G20:J27"/>
  <tableColumns count="4">
    <tableColumn id="1" name="Entretenimiento" totalsRowLabel="Total" dataDxfId="630" totalsRowDxfId="631"/>
    <tableColumn id="2" name="Costo Presupuestado" totalsRowFunction="sum" dataDxfId="628" totalsRowDxfId="629"/>
    <tableColumn id="3" name="Costo Real" totalsRowFunction="sum" dataDxfId="626" totalsRowDxfId="627"/>
    <tableColumn id="4" name="Diferencia" totalsRowFunction="sum" dataDxfId="624" totalsRowDxfId="625">
      <calculatedColumnFormula>Entertainment21334557698193105[Costo Presupuestado]-Entertainment21334557698193105[Costo Real]</calculatedColumnFormula>
    </tableColumn>
  </tableColumns>
  <tableStyleInfo name="TableStyleLight2" showFirstColumn="0" showLastColumn="0" showRowStripes="1" showColumnStripes="0"/>
</table>
</file>

<file path=xl/tables/table117.xml><?xml version="1.0" encoding="utf-8"?>
<table xmlns="http://schemas.openxmlformats.org/spreadsheetml/2006/main" id="105" name="Loans22344658708294106" displayName="Loans22344658708294106" ref="G53:J60" totalsRowCount="1" headerRowDxfId="623" dataDxfId="622" totalsRowDxfId="621" tableBorderDxfId="620">
  <autoFilter ref="G53:J59"/>
  <tableColumns count="4">
    <tableColumn id="1" name="Gastos Financieros/ Prestamos" totalsRowLabel="Total" dataDxfId="618" totalsRowDxfId="619"/>
    <tableColumn id="2" name="Costo Presupuestado" totalsRowFunction="sum" dataDxfId="616" totalsRowDxfId="617"/>
    <tableColumn id="3" name="Costo Real" totalsRowFunction="sum" dataDxfId="614" totalsRowDxfId="615"/>
    <tableColumn id="4" name="Diferencia" totalsRowFunction="sum" dataDxfId="612" totalsRowDxfId="613">
      <calculatedColumnFormula>Loans22344658708294106[Costo Presupuestado]-Loans22344658708294106[Costo Real]</calculatedColumnFormula>
    </tableColumn>
  </tableColumns>
  <tableStyleInfo name="TableStyleLight2" showFirstColumn="0" showLastColumn="0" showRowStripes="1" showColumnStripes="0"/>
</table>
</file>

<file path=xl/tables/table118.xml><?xml version="1.0" encoding="utf-8"?>
<table xmlns="http://schemas.openxmlformats.org/spreadsheetml/2006/main" id="106" name="Savings23354759718395107" displayName="Savings23354759718395107" ref="B6:E12" totalsRowCount="1" headerRowDxfId="611" dataDxfId="610" totalsRowDxfId="609" tableBorderDxfId="608">
  <autoFilter ref="B6:E11"/>
  <tableColumns count="4">
    <tableColumn id="1" name="Ahorro/ Inversiones" totalsRowLabel="Total" dataDxfId="606" totalsRowDxfId="607"/>
    <tableColumn id="2" name="Costo Presupuestado" totalsRowFunction="sum" dataDxfId="604" totalsRowDxfId="605"/>
    <tableColumn id="3" name="Costo Real" totalsRowFunction="sum" dataDxfId="602" totalsRowDxfId="603"/>
    <tableColumn id="4" name="Diferencia" totalsRowFunction="sum" dataDxfId="600" totalsRowDxfId="601">
      <calculatedColumnFormula>Savings23354759718395107[Costo Presupuestado]-Savings23354759718395107[Costo Real]</calculatedColumnFormula>
    </tableColumn>
  </tableColumns>
  <tableStyleInfo name="TableStyleLight2" showFirstColumn="0" showLastColumn="0" showRowStripes="1" showColumnStripes="0"/>
</table>
</file>

<file path=xl/tables/table119.xml><?xml version="1.0" encoding="utf-8"?>
<table xmlns="http://schemas.openxmlformats.org/spreadsheetml/2006/main" id="107" name="Gifts24364860728496108" displayName="Gifts24364860728496108" ref="G30:J34" totalsRowCount="1" headerRowDxfId="599" dataDxfId="598" totalsRowDxfId="597" tableBorderDxfId="596">
  <autoFilter ref="G30:J33"/>
  <tableColumns count="4">
    <tableColumn id="1" name="Regalos y Donaciones" totalsRowLabel="Total" dataDxfId="594" totalsRowDxfId="595"/>
    <tableColumn id="2" name="Costo Presupuestado" totalsRowFunction="sum" dataDxfId="592" totalsRowDxfId="593"/>
    <tableColumn id="3" name="Costo Real" totalsRowFunction="sum" dataDxfId="590" totalsRowDxfId="591"/>
    <tableColumn id="4" name="Diferencia" totalsRowFunction="sum" dataDxfId="588" totalsRowDxfId="589">
      <calculatedColumnFormula>Gifts24364860728496108[Costo Presupuestado]-Gifts24364860728496108[Costo Real]</calculatedColumnFormula>
    </tableColumn>
  </tableColumns>
  <tableStyleInfo name="TableStyleLight2" showFirstColumn="0" showLastColumn="0" showRowStripes="1" showColumnStripes="0"/>
</table>
</file>

<file path=xl/tables/table12.xml><?xml version="1.0" encoding="utf-8"?>
<table xmlns="http://schemas.openxmlformats.org/spreadsheetml/2006/main" id="144" name="Legal25145" displayName="Legal25145" ref="G62:J66" totalsRowCount="1" headerRowDxfId="155" dataDxfId="154" totalsRowDxfId="153" tableBorderDxfId="152">
  <autoFilter ref="G62:J65"/>
  <tableColumns count="4">
    <tableColumn id="1" name="Gastos Legales" totalsRowLabel="Total" dataDxfId="150" totalsRowDxfId="151"/>
    <tableColumn id="2" name="Costo Presupuestado" totalsRowFunction="sum" dataDxfId="148" totalsRowDxfId="149"/>
    <tableColumn id="3" name="Costo Real" totalsRowFunction="sum" dataDxfId="146" totalsRowDxfId="147"/>
    <tableColumn id="4" name="Diferencia" totalsRowFunction="sum" dataDxfId="144" totalsRowDxfId="145">
      <calculatedColumnFormula>Legal25145[Costo Presupuestado]-Legal25145[Costo Real]</calculatedColumnFormula>
    </tableColumn>
  </tableColumns>
  <tableStyleInfo name="TableStyleLight2" showFirstColumn="0" showLastColumn="0" showRowStripes="1" showColumnStripes="0"/>
</table>
</file>

<file path=xl/tables/table120.xml><?xml version="1.0" encoding="utf-8"?>
<table xmlns="http://schemas.openxmlformats.org/spreadsheetml/2006/main" id="108" name="Legal25374961738597109" displayName="Legal25374961738597109" ref="G62:J66" totalsRowCount="1" headerRowDxfId="587" dataDxfId="586" totalsRowDxfId="585" tableBorderDxfId="584">
  <autoFilter ref="G62:J65"/>
  <tableColumns count="4">
    <tableColumn id="1" name="Gastos Legales" totalsRowLabel="Total" dataDxfId="582" totalsRowDxfId="583"/>
    <tableColumn id="2" name="Costo Presupuestado" totalsRowFunction="sum" dataDxfId="580" totalsRowDxfId="581"/>
    <tableColumn id="3" name="Costo Real" totalsRowFunction="sum" dataDxfId="578" totalsRowDxfId="579"/>
    <tableColumn id="4" name="Diferencia" totalsRowFunction="sum" dataDxfId="576" totalsRowDxfId="577">
      <calculatedColumnFormula>Legal25374961738597109[Costo Presupuestado]-Legal25374961738597109[Costo Real]</calculatedColumnFormula>
    </tableColumn>
  </tableColumns>
  <tableStyleInfo name="TableStyleLight2" showFirstColumn="0" showLastColumn="0" showRowStripes="1" showColumnStripes="0"/>
</table>
</file>

<file path=xl/tables/table121.xml><?xml version="1.0" encoding="utf-8"?>
<table xmlns="http://schemas.openxmlformats.org/spreadsheetml/2006/main" id="109" name="Housing1126385062748698110" displayName="Housing1126385062748698110" ref="B14:E25" totalsRowCount="1" headerRowDxfId="575" dataDxfId="574" totalsRowDxfId="573" tableBorderDxfId="572">
  <autoFilter ref="B14:E24"/>
  <tableColumns count="4">
    <tableColumn id="1" name="Vivienda" totalsRowLabel="Total" dataDxfId="570" totalsRowDxfId="571"/>
    <tableColumn id="2" name="Costo Presupuestado" totalsRowFunction="sum" dataDxfId="568" totalsRowDxfId="569"/>
    <tableColumn id="3" name="Costo Real" totalsRowFunction="sum" dataDxfId="566" totalsRowDxfId="567"/>
    <tableColumn id="4" name="Diferencia" totalsRowFunction="sum" dataDxfId="564" totalsRowDxfId="565">
      <calculatedColumnFormula>Housing1126385062748698110[Costo Presupuestado]-Housing1126385062748698110[Costo Real]</calculatedColumnFormula>
    </tableColumn>
  </tableColumns>
  <tableStyleInfo name="TableStyleLight2" showFirstColumn="0" showLastColumn="0" showRowStripes="1" showColumnStripes="0"/>
</table>
</file>

<file path=xl/tables/table122.xml><?xml version="1.0" encoding="utf-8"?>
<table xmlns="http://schemas.openxmlformats.org/spreadsheetml/2006/main" id="110" name="Transportation1527395163758799111" displayName="Transportation1527395163758799111" ref="B27:E35" totalsRowCount="1" headerRowDxfId="563" dataDxfId="562" totalsRowDxfId="561" tableBorderDxfId="560">
  <autoFilter ref="B27:E34"/>
  <tableColumns count="4">
    <tableColumn id="1" name="Transporte" totalsRowLabel="Total" dataDxfId="558" totalsRowDxfId="559"/>
    <tableColumn id="2" name="Costo Presupuestado" totalsRowFunction="sum" dataDxfId="556" totalsRowDxfId="557"/>
    <tableColumn id="3" name="Costo Real" totalsRowFunction="sum" dataDxfId="554" totalsRowDxfId="555"/>
    <tableColumn id="4" name="Diferencia" totalsRowFunction="sum" dataDxfId="552" totalsRowDxfId="553">
      <calculatedColumnFormula>Transportation1527395163758799111[Costo Presupuestado]-Transportation1527395163758799111[Costo Real]</calculatedColumnFormula>
    </tableColumn>
  </tableColumns>
  <tableStyleInfo name="TableStyleLight2" showFirstColumn="0" showLastColumn="0" showRowStripes="1" showColumnStripes="0"/>
</table>
</file>

<file path=xl/tables/table123.xml><?xml version="1.0" encoding="utf-8"?>
<table xmlns="http://schemas.openxmlformats.org/spreadsheetml/2006/main" id="111" name="Insurance16284052647688100112" displayName="Insurance16284052647688100112" ref="B37:E42" totalsRowCount="1" headerRowDxfId="551" dataDxfId="550" totalsRowDxfId="549" tableBorderDxfId="548">
  <autoFilter ref="B37:E41"/>
  <tableColumns count="4">
    <tableColumn id="1" name="Seguros" totalsRowLabel="Total" dataDxfId="546" totalsRowDxfId="547"/>
    <tableColumn id="2" name="Costo Presupuestado" totalsRowFunction="sum" dataDxfId="544" totalsRowDxfId="545"/>
    <tableColumn id="3" name="Costo Real" totalsRowFunction="sum" dataDxfId="542" totalsRowDxfId="543"/>
    <tableColumn id="4" name="Diferencia" totalsRowFunction="sum" dataDxfId="540" totalsRowDxfId="541">
      <calculatedColumnFormula>Insurance16284052647688100112[Costo Presupuestado]-Insurance16284052647688100112[Costo Real]</calculatedColumnFormula>
    </tableColumn>
  </tableColumns>
  <tableStyleInfo name="TableStyleLight2" showFirstColumn="0" showLastColumn="0" showRowStripes="1" showColumnStripes="0"/>
</table>
</file>

<file path=xl/tables/table124.xml><?xml version="1.0" encoding="utf-8"?>
<table xmlns="http://schemas.openxmlformats.org/spreadsheetml/2006/main" id="112" name="Food17294153657789101113" displayName="Food17294153657789101113" ref="B44:E48" totalsRowCount="1" headerRowDxfId="539" dataDxfId="538" totalsRowDxfId="537" tableBorderDxfId="536">
  <autoFilter ref="B44:E47"/>
  <tableColumns count="4">
    <tableColumn id="1" name="Comida" totalsRowLabel="Total" dataDxfId="534" totalsRowDxfId="535"/>
    <tableColumn id="2" name="Costo Presupuestado" totalsRowFunction="sum" dataDxfId="532" totalsRowDxfId="533"/>
    <tableColumn id="3" name="Costo Real" totalsRowFunction="sum" dataDxfId="530" totalsRowDxfId="531"/>
    <tableColumn id="4" name="Diferencia" totalsRowFunction="sum" dataDxfId="528" totalsRowDxfId="529">
      <calculatedColumnFormula>Food17294153657789101113[Costo Presupuestado]-Food17294153657789101113[Costo Real]</calculatedColumnFormula>
    </tableColumn>
  </tableColumns>
  <tableStyleInfo name="TableStyleLight2" showFirstColumn="0" showLastColumn="0" showRowStripes="1" showColumnStripes="0"/>
</table>
</file>

<file path=xl/tables/table125.xml><?xml version="1.0" encoding="utf-8"?>
<table xmlns="http://schemas.openxmlformats.org/spreadsheetml/2006/main" id="113" name="Children18304254667890102114" displayName="Children18304254667890102114" ref="B50:E60" totalsRowCount="1" headerRowDxfId="527" dataDxfId="526" totalsRowDxfId="525" tableBorderDxfId="524">
  <autoFilter ref="B50:E59"/>
  <tableColumns count="4">
    <tableColumn id="1" name="Niños" totalsRowLabel="Total" dataDxfId="522" totalsRowDxfId="523"/>
    <tableColumn id="2" name="Costo Presupuestado" totalsRowFunction="sum" dataDxfId="520" totalsRowDxfId="521"/>
    <tableColumn id="3" name="Costo Real" totalsRowFunction="sum" dataDxfId="518" totalsRowDxfId="519"/>
    <tableColumn id="4" name="Diferencia" totalsRowFunction="sum" dataDxfId="516" totalsRowDxfId="517">
      <calculatedColumnFormula>Children18304254667890102114[Costo Presupuestado]-Children18304254667890102114[Costo Real]</calculatedColumnFormula>
    </tableColumn>
  </tableColumns>
  <tableStyleInfo name="TableStyleLight2" showFirstColumn="0" showLastColumn="0" showRowStripes="1" showColumnStripes="0"/>
</table>
</file>

<file path=xl/tables/table126.xml><?xml version="1.0" encoding="utf-8"?>
<table xmlns="http://schemas.openxmlformats.org/spreadsheetml/2006/main" id="114" name="Pets19314355677991103115" displayName="Pets19314355677991103115" ref="G36:J42" totalsRowCount="1" headerRowDxfId="515" dataDxfId="514" totalsRowDxfId="513" tableBorderDxfId="512">
  <autoFilter ref="G36:J41"/>
  <tableColumns count="4">
    <tableColumn id="1" name="Mascotas" totalsRowLabel="Total" dataDxfId="510" totalsRowDxfId="511"/>
    <tableColumn id="2" name="Costo Presupuestado" totalsRowFunction="sum" dataDxfId="508" totalsRowDxfId="509"/>
    <tableColumn id="3" name="Costo Real" totalsRowFunction="sum" dataDxfId="506" totalsRowDxfId="507"/>
    <tableColumn id="4" name="Diferencia" totalsRowFunction="sum" dataDxfId="504" totalsRowDxfId="505">
      <calculatedColumnFormula>Pets19314355677991103115[Costo Presupuestado]-Pets19314355677991103115[Costo Real]</calculatedColumnFormula>
    </tableColumn>
  </tableColumns>
  <tableStyleInfo name="TableStyleLight2" showFirstColumn="0" showLastColumn="0" showRowStripes="1" showColumnStripes="0"/>
</table>
</file>

<file path=xl/tables/table127.xml><?xml version="1.0" encoding="utf-8"?>
<table xmlns="http://schemas.openxmlformats.org/spreadsheetml/2006/main" id="115" name="PersonalCare20324456688092104116" displayName="PersonalCare20324456688092104116" ref="G44:J51" totalsRowCount="1" headerRowDxfId="503" dataDxfId="502" totalsRowDxfId="501" tableBorderDxfId="500">
  <autoFilter ref="G44:J50"/>
  <tableColumns count="4">
    <tableColumn id="1" name="Cuidado Personal" totalsRowLabel="Total" dataDxfId="498" totalsRowDxfId="499"/>
    <tableColumn id="2" name="Costo Presupuestado" totalsRowFunction="sum" dataDxfId="496" totalsRowDxfId="497"/>
    <tableColumn id="3" name="Costo Real" totalsRowFunction="sum" dataDxfId="494" totalsRowDxfId="495"/>
    <tableColumn id="4" name="Diferencia" totalsRowFunction="sum" dataDxfId="492" totalsRowDxfId="493">
      <calculatedColumnFormula>PersonalCare20324456688092104116[Costo Presupuestado]-PersonalCare20324456688092104116[Costo Real]</calculatedColumnFormula>
    </tableColumn>
  </tableColumns>
  <tableStyleInfo name="TableStyleLight2" showFirstColumn="0" showLastColumn="0" showRowStripes="1" showColumnStripes="0"/>
</table>
</file>

<file path=xl/tables/table128.xml><?xml version="1.0" encoding="utf-8"?>
<table xmlns="http://schemas.openxmlformats.org/spreadsheetml/2006/main" id="116" name="Entertainment21334557698193105117" displayName="Entertainment21334557698193105117" ref="G20:J28" totalsRowCount="1" headerRowDxfId="491" dataDxfId="490" totalsRowDxfId="489" tableBorderDxfId="488">
  <autoFilter ref="G20:J27"/>
  <tableColumns count="4">
    <tableColumn id="1" name="Entretenimiento" totalsRowLabel="Total" dataDxfId="486" totalsRowDxfId="487"/>
    <tableColumn id="2" name="Costo Presupuestado" totalsRowFunction="sum" dataDxfId="484" totalsRowDxfId="485"/>
    <tableColumn id="3" name="Costo Real" totalsRowFunction="sum" dataDxfId="482" totalsRowDxfId="483"/>
    <tableColumn id="4" name="Diferencia" totalsRowFunction="sum" dataDxfId="480" totalsRowDxfId="481">
      <calculatedColumnFormula>Entertainment21334557698193105117[Costo Presupuestado]-Entertainment21334557698193105117[Costo Real]</calculatedColumnFormula>
    </tableColumn>
  </tableColumns>
  <tableStyleInfo name="TableStyleLight2" showFirstColumn="0" showLastColumn="0" showRowStripes="1" showColumnStripes="0"/>
</table>
</file>

<file path=xl/tables/table129.xml><?xml version="1.0" encoding="utf-8"?>
<table xmlns="http://schemas.openxmlformats.org/spreadsheetml/2006/main" id="117" name="Loans22344658708294106118" displayName="Loans22344658708294106118" ref="G53:J60" totalsRowCount="1" headerRowDxfId="479" dataDxfId="478" totalsRowDxfId="477" tableBorderDxfId="476">
  <autoFilter ref="G53:J59"/>
  <tableColumns count="4">
    <tableColumn id="1" name="Gastos Financieros/ Prestamos" totalsRowLabel="Total" dataDxfId="474" totalsRowDxfId="475"/>
    <tableColumn id="2" name="Costo Presupuestado" totalsRowFunction="sum" dataDxfId="472" totalsRowDxfId="473"/>
    <tableColumn id="3" name="Costo Real" totalsRowFunction="sum" dataDxfId="470" totalsRowDxfId="471"/>
    <tableColumn id="4" name="Diferencia" totalsRowFunction="sum" dataDxfId="468" totalsRowDxfId="469">
      <calculatedColumnFormula>Loans22344658708294106118[Costo Presupuestado]-Loans22344658708294106118[Costo Real]</calculatedColumnFormula>
    </tableColumn>
  </tableColumns>
  <tableStyleInfo name="TableStyleLight2" showFirstColumn="0" showLastColumn="0" showRowStripes="1" showColumnStripes="0"/>
</table>
</file>

<file path=xl/tables/table13.xml><?xml version="1.0" encoding="utf-8"?>
<table xmlns="http://schemas.openxmlformats.org/spreadsheetml/2006/main" id="10" name="Housing11" displayName="Housing11" ref="B14:E25" totalsRowCount="1" headerRowDxfId="1727" dataDxfId="1726" totalsRowDxfId="1725" tableBorderDxfId="1724">
  <autoFilter ref="B14:E24"/>
  <tableColumns count="4">
    <tableColumn id="1" name="Vivienda" totalsRowLabel="Total" dataDxfId="1722" totalsRowDxfId="1723"/>
    <tableColumn id="2" name="Costo Presupuestado" totalsRowFunction="sum" dataDxfId="1720" totalsRowDxfId="1721"/>
    <tableColumn id="3" name="Costo Real" totalsRowFunction="sum" dataDxfId="1718" totalsRowDxfId="1719"/>
    <tableColumn id="4" name="Diferencia" totalsRowFunction="sum" dataDxfId="1716" totalsRowDxfId="1717">
      <calculatedColumnFormula>Housing11[Costo Presupuestado]-Housing11[Costo Real]</calculatedColumnFormula>
    </tableColumn>
  </tableColumns>
  <tableStyleInfo name="TableStyleLight2" showFirstColumn="0" showLastColumn="0" showRowStripes="1" showColumnStripes="0"/>
</table>
</file>

<file path=xl/tables/table130.xml><?xml version="1.0" encoding="utf-8"?>
<table xmlns="http://schemas.openxmlformats.org/spreadsheetml/2006/main" id="118" name="Savings23354759718395107119" displayName="Savings23354759718395107119" ref="B6:E12" totalsRowCount="1" headerRowDxfId="467" dataDxfId="466" totalsRowDxfId="465" tableBorderDxfId="464">
  <autoFilter ref="B6:E11"/>
  <tableColumns count="4">
    <tableColumn id="1" name="Ahorro/ Inversiones" totalsRowLabel="Total" dataDxfId="462" totalsRowDxfId="463"/>
    <tableColumn id="2" name="Costo Presupuestado" totalsRowFunction="sum" dataDxfId="460" totalsRowDxfId="461"/>
    <tableColumn id="3" name="Costo Real" totalsRowFunction="sum" dataDxfId="458" totalsRowDxfId="459"/>
    <tableColumn id="4" name="Diferencia" totalsRowFunction="sum" dataDxfId="456" totalsRowDxfId="457">
      <calculatedColumnFormula>Savings23354759718395107119[Costo Presupuestado]-Savings23354759718395107119[Costo Real]</calculatedColumnFormula>
    </tableColumn>
  </tableColumns>
  <tableStyleInfo name="TableStyleLight2" showFirstColumn="0" showLastColumn="0" showRowStripes="1" showColumnStripes="0"/>
</table>
</file>

<file path=xl/tables/table131.xml><?xml version="1.0" encoding="utf-8"?>
<table xmlns="http://schemas.openxmlformats.org/spreadsheetml/2006/main" id="119" name="Gifts24364860728496108120" displayName="Gifts24364860728496108120" ref="G30:J34" totalsRowCount="1" headerRowDxfId="455" dataDxfId="454" totalsRowDxfId="453" tableBorderDxfId="452">
  <autoFilter ref="G30:J33"/>
  <tableColumns count="4">
    <tableColumn id="1" name="Regalos y Donaciones" totalsRowLabel="Total" dataDxfId="450" totalsRowDxfId="451"/>
    <tableColumn id="2" name="Costo Presupuestado" totalsRowFunction="sum" dataDxfId="448" totalsRowDxfId="449"/>
    <tableColumn id="3" name="Costo Real" totalsRowFunction="sum" dataDxfId="446" totalsRowDxfId="447"/>
    <tableColumn id="4" name="Diferencia" totalsRowFunction="sum" dataDxfId="444" totalsRowDxfId="445">
      <calculatedColumnFormula>Gifts24364860728496108120[Costo Presupuestado]-Gifts24364860728496108120[Costo Real]</calculatedColumnFormula>
    </tableColumn>
  </tableColumns>
  <tableStyleInfo name="TableStyleLight2" showFirstColumn="0" showLastColumn="0" showRowStripes="1" showColumnStripes="0"/>
</table>
</file>

<file path=xl/tables/table132.xml><?xml version="1.0" encoding="utf-8"?>
<table xmlns="http://schemas.openxmlformats.org/spreadsheetml/2006/main" id="120" name="Legal25374961738597109121" displayName="Legal25374961738597109121" ref="G62:J66" totalsRowCount="1" headerRowDxfId="443" dataDxfId="442" totalsRowDxfId="441" tableBorderDxfId="440">
  <autoFilter ref="G62:J65"/>
  <tableColumns count="4">
    <tableColumn id="1" name="Gastos Legales" totalsRowLabel="Total" dataDxfId="438" totalsRowDxfId="439"/>
    <tableColumn id="2" name="Costo Presupuestado" totalsRowFunction="sum" dataDxfId="436" totalsRowDxfId="437"/>
    <tableColumn id="3" name="Costo Real" totalsRowFunction="sum" dataDxfId="434" totalsRowDxfId="435"/>
    <tableColumn id="4" name="Diferencia" totalsRowFunction="sum" dataDxfId="432" totalsRowDxfId="433">
      <calculatedColumnFormula>Legal25374961738597109121[Costo Presupuestado]-Legal25374961738597109121[Costo Real]</calculatedColumnFormula>
    </tableColumn>
  </tableColumns>
  <tableStyleInfo name="TableStyleLight2" showFirstColumn="0" showLastColumn="0" showRowStripes="1" showColumnStripes="0"/>
</table>
</file>

<file path=xl/tables/table133.xml><?xml version="1.0" encoding="utf-8"?>
<table xmlns="http://schemas.openxmlformats.org/spreadsheetml/2006/main" id="121" name="Housing1126385062748698110122" displayName="Housing1126385062748698110122" ref="B14:E25" totalsRowCount="1" headerRowDxfId="431" dataDxfId="430" totalsRowDxfId="429" tableBorderDxfId="428">
  <autoFilter ref="B14:E24"/>
  <tableColumns count="4">
    <tableColumn id="1" name="Vivienda" totalsRowLabel="Total" dataDxfId="426" totalsRowDxfId="427"/>
    <tableColumn id="2" name="Costo Presupuestado" totalsRowFunction="sum" dataDxfId="424" totalsRowDxfId="425"/>
    <tableColumn id="3" name="Costo Real" totalsRowFunction="sum" dataDxfId="422" totalsRowDxfId="423"/>
    <tableColumn id="4" name="Diferencia" totalsRowFunction="sum" dataDxfId="420" totalsRowDxfId="421">
      <calculatedColumnFormula>Housing1126385062748698110122[Costo Presupuestado]-Housing1126385062748698110122[Costo Real]</calculatedColumnFormula>
    </tableColumn>
  </tableColumns>
  <tableStyleInfo name="TableStyleLight2" showFirstColumn="0" showLastColumn="0" showRowStripes="1" showColumnStripes="0"/>
</table>
</file>

<file path=xl/tables/table134.xml><?xml version="1.0" encoding="utf-8"?>
<table xmlns="http://schemas.openxmlformats.org/spreadsheetml/2006/main" id="122" name="Transportation1527395163758799111123" displayName="Transportation1527395163758799111123" ref="B27:E35" totalsRowCount="1" headerRowDxfId="419" dataDxfId="418" totalsRowDxfId="417" tableBorderDxfId="416">
  <autoFilter ref="B27:E34"/>
  <tableColumns count="4">
    <tableColumn id="1" name="Transporte" totalsRowLabel="Total" dataDxfId="414" totalsRowDxfId="415"/>
    <tableColumn id="2" name="Costo Presupuestado" totalsRowFunction="sum" dataDxfId="412" totalsRowDxfId="413"/>
    <tableColumn id="3" name="Costo Real" totalsRowFunction="sum" dataDxfId="410" totalsRowDxfId="411"/>
    <tableColumn id="4" name="Diferencia" totalsRowFunction="sum" dataDxfId="408" totalsRowDxfId="409">
      <calculatedColumnFormula>Transportation1527395163758799111123[Costo Presupuestado]-Transportation1527395163758799111123[Costo Real]</calculatedColumnFormula>
    </tableColumn>
  </tableColumns>
  <tableStyleInfo name="TableStyleLight2" showFirstColumn="0" showLastColumn="0" showRowStripes="1" showColumnStripes="0"/>
</table>
</file>

<file path=xl/tables/table135.xml><?xml version="1.0" encoding="utf-8"?>
<table xmlns="http://schemas.openxmlformats.org/spreadsheetml/2006/main" id="123" name="Insurance16284052647688100112124" displayName="Insurance16284052647688100112124" ref="B37:E42" totalsRowCount="1" headerRowDxfId="407" dataDxfId="406" totalsRowDxfId="405" tableBorderDxfId="404">
  <autoFilter ref="B37:E41"/>
  <tableColumns count="4">
    <tableColumn id="1" name="Seguros" totalsRowLabel="Total" dataDxfId="402" totalsRowDxfId="403"/>
    <tableColumn id="2" name="Costo Presupuestado" totalsRowFunction="sum" dataDxfId="400" totalsRowDxfId="401"/>
    <tableColumn id="3" name="Costo Real" totalsRowFunction="sum" dataDxfId="398" totalsRowDxfId="399"/>
    <tableColumn id="4" name="Diferencia" totalsRowFunction="sum" dataDxfId="396" totalsRowDxfId="397">
      <calculatedColumnFormula>Insurance16284052647688100112124[Costo Presupuestado]-Insurance16284052647688100112124[Costo Real]</calculatedColumnFormula>
    </tableColumn>
  </tableColumns>
  <tableStyleInfo name="TableStyleLight2" showFirstColumn="0" showLastColumn="0" showRowStripes="1" showColumnStripes="0"/>
</table>
</file>

<file path=xl/tables/table136.xml><?xml version="1.0" encoding="utf-8"?>
<table xmlns="http://schemas.openxmlformats.org/spreadsheetml/2006/main" id="124" name="Food17294153657789101113125" displayName="Food17294153657789101113125" ref="B44:E48" totalsRowCount="1" headerRowDxfId="395" dataDxfId="394" totalsRowDxfId="393" tableBorderDxfId="392">
  <autoFilter ref="B44:E47"/>
  <tableColumns count="4">
    <tableColumn id="1" name="Comida" totalsRowLabel="Total" dataDxfId="390" totalsRowDxfId="391"/>
    <tableColumn id="2" name="Costo Presupuestado" totalsRowFunction="sum" dataDxfId="388" totalsRowDxfId="389"/>
    <tableColumn id="3" name="Costo Real" totalsRowFunction="sum" dataDxfId="386" totalsRowDxfId="387"/>
    <tableColumn id="4" name="Diferencia" totalsRowFunction="sum" dataDxfId="384" totalsRowDxfId="385">
      <calculatedColumnFormula>Food17294153657789101113125[Costo Presupuestado]-Food17294153657789101113125[Costo Real]</calculatedColumnFormula>
    </tableColumn>
  </tableColumns>
  <tableStyleInfo name="TableStyleLight2" showFirstColumn="0" showLastColumn="0" showRowStripes="1" showColumnStripes="0"/>
</table>
</file>

<file path=xl/tables/table137.xml><?xml version="1.0" encoding="utf-8"?>
<table xmlns="http://schemas.openxmlformats.org/spreadsheetml/2006/main" id="125" name="Children18304254667890102114126" displayName="Children18304254667890102114126" ref="B50:E60" totalsRowCount="1" headerRowDxfId="383" dataDxfId="382" totalsRowDxfId="381" tableBorderDxfId="380">
  <autoFilter ref="B50:E59"/>
  <tableColumns count="4">
    <tableColumn id="1" name="Niños" totalsRowLabel="Total" dataDxfId="378" totalsRowDxfId="379"/>
    <tableColumn id="2" name="Costo Presupuestado" totalsRowFunction="sum" dataDxfId="376" totalsRowDxfId="377"/>
    <tableColumn id="3" name="Costo Real" totalsRowFunction="sum" dataDxfId="374" totalsRowDxfId="375"/>
    <tableColumn id="4" name="Diferencia" totalsRowFunction="sum" dataDxfId="372" totalsRowDxfId="373">
      <calculatedColumnFormula>Children18304254667890102114126[Costo Presupuestado]-Children18304254667890102114126[Costo Real]</calculatedColumnFormula>
    </tableColumn>
  </tableColumns>
  <tableStyleInfo name="TableStyleLight2" showFirstColumn="0" showLastColumn="0" showRowStripes="1" showColumnStripes="0"/>
</table>
</file>

<file path=xl/tables/table138.xml><?xml version="1.0" encoding="utf-8"?>
<table xmlns="http://schemas.openxmlformats.org/spreadsheetml/2006/main" id="126" name="Pets19314355677991103115127" displayName="Pets19314355677991103115127" ref="G36:J42" totalsRowCount="1" headerRowDxfId="371" dataDxfId="370" totalsRowDxfId="369" tableBorderDxfId="368">
  <autoFilter ref="G36:J41"/>
  <tableColumns count="4">
    <tableColumn id="1" name="Mascotas" totalsRowLabel="Total" dataDxfId="366" totalsRowDxfId="367"/>
    <tableColumn id="2" name="Costo Presupuestado" totalsRowFunction="sum" dataDxfId="364" totalsRowDxfId="365"/>
    <tableColumn id="3" name="Costo Real" totalsRowFunction="sum" dataDxfId="362" totalsRowDxfId="363"/>
    <tableColumn id="4" name="Diferencia" totalsRowFunction="sum" dataDxfId="360" totalsRowDxfId="361">
      <calculatedColumnFormula>Pets19314355677991103115127[Costo Presupuestado]-Pets19314355677991103115127[Costo Real]</calculatedColumnFormula>
    </tableColumn>
  </tableColumns>
  <tableStyleInfo name="TableStyleLight2" showFirstColumn="0" showLastColumn="0" showRowStripes="1" showColumnStripes="0"/>
</table>
</file>

<file path=xl/tables/table139.xml><?xml version="1.0" encoding="utf-8"?>
<table xmlns="http://schemas.openxmlformats.org/spreadsheetml/2006/main" id="127" name="PersonalCare20324456688092104116128" displayName="PersonalCare20324456688092104116128" ref="G44:J51" totalsRowCount="1" headerRowDxfId="359" dataDxfId="358" totalsRowDxfId="357" tableBorderDxfId="356">
  <autoFilter ref="G44:J50"/>
  <tableColumns count="4">
    <tableColumn id="1" name="Cuidado Personal" totalsRowLabel="Total" dataDxfId="354" totalsRowDxfId="355"/>
    <tableColumn id="2" name="Costo Presupuestado" totalsRowFunction="sum" dataDxfId="352" totalsRowDxfId="353"/>
    <tableColumn id="3" name="Costo Real" totalsRowFunction="sum" dataDxfId="350" totalsRowDxfId="351"/>
    <tableColumn id="4" name="Diferencia" totalsRowFunction="sum" dataDxfId="348" totalsRowDxfId="349">
      <calculatedColumnFormula>PersonalCare20324456688092104116128[Costo Presupuestado]-PersonalCare20324456688092104116128[Costo Real]</calculatedColumnFormula>
    </tableColumn>
  </tableColumns>
  <tableStyleInfo name="TableStyleLight2" showFirstColumn="0" showLastColumn="0" showRowStripes="1" showColumnStripes="0"/>
</table>
</file>

<file path=xl/tables/table14.xml><?xml version="1.0" encoding="utf-8"?>
<table xmlns="http://schemas.openxmlformats.org/spreadsheetml/2006/main" id="14" name="Transportation15" displayName="Transportation15" ref="B27:E35" totalsRowCount="1" headerRowDxfId="1715" dataDxfId="1714" totalsRowDxfId="1713" tableBorderDxfId="1712">
  <autoFilter ref="B27:E34"/>
  <tableColumns count="4">
    <tableColumn id="1" name="Transporte" totalsRowLabel="Total" dataDxfId="1710" totalsRowDxfId="1711"/>
    <tableColumn id="2" name="Costo Presupuestado" totalsRowFunction="sum" dataDxfId="1708" totalsRowDxfId="1709"/>
    <tableColumn id="3" name="Costo Real" totalsRowFunction="sum" dataDxfId="1706" totalsRowDxfId="1707"/>
    <tableColumn id="4" name="Diferencia" totalsRowFunction="sum" dataDxfId="1704" totalsRowDxfId="1705">
      <calculatedColumnFormula>Transportation15[Costo Presupuestado]-Transportation15[Costo Real]</calculatedColumnFormula>
    </tableColumn>
  </tableColumns>
  <tableStyleInfo name="TableStyleLight2" showFirstColumn="0" showLastColumn="0" showRowStripes="1" showColumnStripes="0"/>
</table>
</file>

<file path=xl/tables/table140.xml><?xml version="1.0" encoding="utf-8"?>
<table xmlns="http://schemas.openxmlformats.org/spreadsheetml/2006/main" id="128" name="Entertainment21334557698193105117129" displayName="Entertainment21334557698193105117129" ref="G20:J28" totalsRowCount="1" headerRowDxfId="347" dataDxfId="346" totalsRowDxfId="345" tableBorderDxfId="344">
  <autoFilter ref="G20:J27"/>
  <tableColumns count="4">
    <tableColumn id="1" name="Entretenimiento" totalsRowLabel="Total" dataDxfId="342" totalsRowDxfId="343"/>
    <tableColumn id="2" name="Costo Presupuestado" totalsRowFunction="sum" dataDxfId="340" totalsRowDxfId="341"/>
    <tableColumn id="3" name="Costo Real" totalsRowFunction="sum" dataDxfId="338" totalsRowDxfId="339"/>
    <tableColumn id="4" name="Diferencia" totalsRowFunction="sum" dataDxfId="336" totalsRowDxfId="337">
      <calculatedColumnFormula>Entertainment21334557698193105117129[Costo Presupuestado]-Entertainment21334557698193105117129[Costo Real]</calculatedColumnFormula>
    </tableColumn>
  </tableColumns>
  <tableStyleInfo name="TableStyleLight2" showFirstColumn="0" showLastColumn="0" showRowStripes="1" showColumnStripes="0"/>
</table>
</file>

<file path=xl/tables/table141.xml><?xml version="1.0" encoding="utf-8"?>
<table xmlns="http://schemas.openxmlformats.org/spreadsheetml/2006/main" id="129" name="Loans22344658708294106118130" displayName="Loans22344658708294106118130" ref="G53:J60" totalsRowCount="1" headerRowDxfId="335" dataDxfId="334" totalsRowDxfId="333" tableBorderDxfId="332">
  <autoFilter ref="G53:J59"/>
  <tableColumns count="4">
    <tableColumn id="1" name="Gastos Financieros/ Prestamos" totalsRowLabel="Total" dataDxfId="330" totalsRowDxfId="331"/>
    <tableColumn id="2" name="Costo Presupuestado" totalsRowFunction="sum" dataDxfId="328" totalsRowDxfId="329"/>
    <tableColumn id="3" name="Costo Real" totalsRowFunction="sum" dataDxfId="326" totalsRowDxfId="327"/>
    <tableColumn id="4" name="Diferencia" totalsRowFunction="sum" dataDxfId="324" totalsRowDxfId="325">
      <calculatedColumnFormula>Loans22344658708294106118130[Costo Presupuestado]-Loans22344658708294106118130[Costo Real]</calculatedColumnFormula>
    </tableColumn>
  </tableColumns>
  <tableStyleInfo name="TableStyleLight2" showFirstColumn="0" showLastColumn="0" showRowStripes="1" showColumnStripes="0"/>
</table>
</file>

<file path=xl/tables/table142.xml><?xml version="1.0" encoding="utf-8"?>
<table xmlns="http://schemas.openxmlformats.org/spreadsheetml/2006/main" id="130" name="Savings23354759718395107119131" displayName="Savings23354759718395107119131" ref="B6:E12" totalsRowCount="1" headerRowDxfId="323" dataDxfId="322" totalsRowDxfId="321" tableBorderDxfId="320">
  <autoFilter ref="B6:E11"/>
  <tableColumns count="4">
    <tableColumn id="1" name="Ahorro/ Inversiones" totalsRowLabel="Total" dataDxfId="318" totalsRowDxfId="319"/>
    <tableColumn id="2" name="Costo Presupuestado" totalsRowFunction="sum" dataDxfId="316" totalsRowDxfId="317"/>
    <tableColumn id="3" name="Costo Real" totalsRowFunction="sum" dataDxfId="314" totalsRowDxfId="315"/>
    <tableColumn id="4" name="Diferencia" totalsRowFunction="sum" dataDxfId="312" totalsRowDxfId="313">
      <calculatedColumnFormula>Savings23354759718395107119131[Costo Presupuestado]-Savings23354759718395107119131[Costo Real]</calculatedColumnFormula>
    </tableColumn>
  </tableColumns>
  <tableStyleInfo name="TableStyleLight2" showFirstColumn="0" showLastColumn="0" showRowStripes="1" showColumnStripes="0"/>
</table>
</file>

<file path=xl/tables/table143.xml><?xml version="1.0" encoding="utf-8"?>
<table xmlns="http://schemas.openxmlformats.org/spreadsheetml/2006/main" id="131" name="Gifts24364860728496108120132" displayName="Gifts24364860728496108120132" ref="G30:J34" totalsRowCount="1" headerRowDxfId="311" dataDxfId="310" totalsRowDxfId="309" tableBorderDxfId="308">
  <autoFilter ref="G30:J33"/>
  <tableColumns count="4">
    <tableColumn id="1" name="Regalos y Donaciones" totalsRowLabel="Total" dataDxfId="306" totalsRowDxfId="307"/>
    <tableColumn id="2" name="Costo Presupuestado" totalsRowFunction="sum" dataDxfId="304" totalsRowDxfId="305"/>
    <tableColumn id="3" name="Costo Real" totalsRowFunction="sum" dataDxfId="302" totalsRowDxfId="303"/>
    <tableColumn id="4" name="Diferencia" totalsRowFunction="sum" dataDxfId="300" totalsRowDxfId="301">
      <calculatedColumnFormula>Gifts24364860728496108120132[Costo Presupuestado]-Gifts24364860728496108120132[Costo Real]</calculatedColumnFormula>
    </tableColumn>
  </tableColumns>
  <tableStyleInfo name="TableStyleLight2" showFirstColumn="0" showLastColumn="0" showRowStripes="1" showColumnStripes="0"/>
</table>
</file>

<file path=xl/tables/table144.xml><?xml version="1.0" encoding="utf-8"?>
<table xmlns="http://schemas.openxmlformats.org/spreadsheetml/2006/main" id="132" name="Legal25374961738597109121133" displayName="Legal25374961738597109121133" ref="G62:J66" totalsRowCount="1" headerRowDxfId="299" dataDxfId="298" totalsRowDxfId="297" tableBorderDxfId="296">
  <autoFilter ref="G62:J65"/>
  <tableColumns count="4">
    <tableColumn id="1" name="Gastos Legales" totalsRowLabel="Total" dataDxfId="294" totalsRowDxfId="295"/>
    <tableColumn id="2" name="Costo Presupuestado" totalsRowFunction="sum" dataDxfId="292" totalsRowDxfId="293"/>
    <tableColumn id="3" name="Costo Real" totalsRowFunction="sum" dataDxfId="290" totalsRowDxfId="291"/>
    <tableColumn id="4" name="Diferencia" totalsRowFunction="sum" dataDxfId="288" totalsRowDxfId="289">
      <calculatedColumnFormula>Legal25374961738597109121133[Costo Presupuestado]-Legal25374961738597109121133[Costo Real]</calculatedColumnFormula>
    </tableColumn>
  </tableColumns>
  <tableStyleInfo name="TableStyleLight2" showFirstColumn="0" showLastColumn="0" showRowStripes="1" showColumnStripes="0"/>
</table>
</file>

<file path=xl/tables/table145.xml><?xml version="1.0" encoding="utf-8"?>
<table xmlns="http://schemas.openxmlformats.org/spreadsheetml/2006/main" id="145" name="Housing1126385062748698110122146" displayName="Housing1126385062748698110122146" ref="B14:E25" totalsRowCount="1" headerRowDxfId="143" dataDxfId="142" totalsRowDxfId="141" tableBorderDxfId="140">
  <autoFilter ref="B14:E24"/>
  <tableColumns count="4">
    <tableColumn id="1" name="Vivienda" totalsRowLabel="Total" dataDxfId="139" totalsRowDxfId="47"/>
    <tableColumn id="2" name="Costo Presupuestado" totalsRowFunction="sum" dataDxfId="138" totalsRowDxfId="46">
      <calculatedColumnFormula>+Housing11134[[#This Row],[Costo Presupuestado]]+Housing11[[#This Row],[Costo Presupuestado]]+Housing[[#This Row],[Costo Presupuestado]]+Housing1126[[#This Row],[Costo Presupuestado]]+Housing112638[[#This Row],[Costo Presupuestado]]+Housing11263850[[#This Row],[Costo Presupuestado]]+Housing1126385062[[#This Row],[Costo Presupuestado]]+Housing112638506274[[#This Row],[Costo Presupuestado]]+Housing11263850627486[[#This Row],[Costo Presupuestado]]+Housing1126385062748698[[#This Row],[Costo Presupuestado]]+Housing1126385062748698110[[#This Row],[Costo Presupuestado]]+Housing1126385062748698110122[[#This Row],[Costo Presupuestado]]</calculatedColumnFormula>
    </tableColumn>
    <tableColumn id="3" name="Costo Real" totalsRowFunction="sum" dataDxfId="137" totalsRowDxfId="45">
      <calculatedColumnFormula>+Housing11134[[#This Row],[Costo Real]]+Housing11[[#This Row],[Costo Real]]+Housing[[#This Row],[Costo Real]]+Housing1126[[#This Row],[Costo Real]]+Housing112638[[#This Row],[Costo Real]]+Housing11263850[[#This Row],[Costo Real]]+Housing1126385062[[#This Row],[Costo Real]]+Housing112638506274[[#This Row],[Costo Real]]+Housing11263850627486[[#This Row],[Costo Real]]+Housing1126385062748698[[#This Row],[Costo Real]]+Housing1126385062748698110[[#This Row],[Costo Real]]+Housing1126385062748698110122[[#This Row],[Costo Real]]</calculatedColumnFormula>
    </tableColumn>
    <tableColumn id="4" name="Diferencia" totalsRowFunction="sum" dataDxfId="136" totalsRowDxfId="44">
      <calculatedColumnFormula>Housing1126385062748698110122146[Costo Presupuestado]-Housing1126385062748698110122146[Costo Real]</calculatedColumnFormula>
    </tableColumn>
  </tableColumns>
  <tableStyleInfo name="TableStyleLight2" showFirstColumn="0" showLastColumn="0" showRowStripes="1" showColumnStripes="0"/>
</table>
</file>

<file path=xl/tables/table146.xml><?xml version="1.0" encoding="utf-8"?>
<table xmlns="http://schemas.openxmlformats.org/spreadsheetml/2006/main" id="146" name="Transportation1527395163758799111123147" displayName="Transportation1527395163758799111123147" ref="B27:E35" totalsRowCount="1" headerRowDxfId="135" dataDxfId="134" totalsRowDxfId="133" tableBorderDxfId="132">
  <autoFilter ref="B27:E34"/>
  <tableColumns count="4">
    <tableColumn id="1" name="Transporte" totalsRowLabel="Total" dataDxfId="131" totalsRowDxfId="43"/>
    <tableColumn id="2" name="Costo Presupuestado" totalsRowFunction="sum" dataDxfId="130" totalsRowDxfId="42">
      <calculatedColumnFormula>+Transportation15135[[#This Row],[Costo Presupuestado]]+Transportation15[[#This Row],[Costo Presupuestado]]+Transportation[[#This Row],[Costo Presupuestado]]+Transportation1527[[#This Row],[Costo Presupuestado]]+Transportation152739[[#This Row],[Costo Presupuestado]]+Transportation15273951[[#This Row],[Costo Presupuestado]]+Transportation1527395163[[#This Row],[Costo Presupuestado]]+Transportation152739516375[[#This Row],[Costo Presupuestado]]+Transportation15273951637587[[#This Row],[Costo Presupuestado]]+Transportation1527395163758799[[#This Row],[Costo Presupuestado]]+Transportation1527395163758799111[[#This Row],[Costo Presupuestado]]+Transportation1527395163758799111123[[#This Row],[Costo Presupuestado]]</calculatedColumnFormula>
    </tableColumn>
    <tableColumn id="3" name="Costo Real" totalsRowFunction="sum" dataDxfId="129" totalsRowDxfId="41">
      <calculatedColumnFormula>+Transportation15135[[#This Row],[Costo Real]]+Transportation15[[#This Row],[Costo Real]]+Transportation[[#This Row],[Costo Real]]+Transportation1527[[#This Row],[Costo Real]]+Transportation152739[[#This Row],[Costo Real]]+Transportation15273951[[#This Row],[Costo Real]]+Transportation1527395163[[#This Row],[Costo Real]]+Transportation152739516375[[#This Row],[Costo Real]]+Transportation15273951637587[[#This Row],[Costo Real]]+Transportation1527395163758799[[#This Row],[Costo Real]]+Transportation1527395163758799111[[#This Row],[Costo Real]]+Transportation1527395163758799111123[[#This Row],[Costo Real]]</calculatedColumnFormula>
    </tableColumn>
    <tableColumn id="4" name="Diferencia" totalsRowFunction="sum" dataDxfId="128" totalsRowDxfId="40">
      <calculatedColumnFormula>Transportation1527395163758799111123147[Costo Presupuestado]-Transportation1527395163758799111123147[Costo Real]</calculatedColumnFormula>
    </tableColumn>
  </tableColumns>
  <tableStyleInfo name="TableStyleLight2" showFirstColumn="0" showLastColumn="0" showRowStripes="1" showColumnStripes="0"/>
</table>
</file>

<file path=xl/tables/table147.xml><?xml version="1.0" encoding="utf-8"?>
<table xmlns="http://schemas.openxmlformats.org/spreadsheetml/2006/main" id="147" name="Insurance16284052647688100112124148" displayName="Insurance16284052647688100112124148" ref="B37:E42" totalsRowCount="1" headerRowDxfId="127" dataDxfId="126" totalsRowDxfId="125" tableBorderDxfId="124">
  <autoFilter ref="B37:E41"/>
  <tableColumns count="4">
    <tableColumn id="1" name="Seguros" totalsRowLabel="Total" dataDxfId="123" totalsRowDxfId="39"/>
    <tableColumn id="2" name="Costo Presupuestado" totalsRowFunction="sum" dataDxfId="122" totalsRowDxfId="38">
      <calculatedColumnFormula>+Insurance16136[[#This Row],[Costo Presupuestado]]+Insurance16[[#This Row],[Costo Presupuestado]]+Insurance[[#This Row],[Costo Presupuestado]]+Insurance1628[[#This Row],[Costo Presupuestado]]+Insurance162840[[#This Row],[Costo Presupuestado]]+Insurance16284052[[#This Row],[Costo Presupuestado]]+Insurance1628405264[[#This Row],[Costo Presupuestado]]+Insurance162840526476[[#This Row],[Costo Presupuestado]]+Insurance16284052647688[[#This Row],[Costo Presupuestado]]+Insurance16284052647688100[[#This Row],[Costo Presupuestado]]+Insurance16284052647688100112[[#This Row],[Costo Presupuestado]]+Insurance16284052647688100112124[[#This Row],[Costo Presupuestado]]</calculatedColumnFormula>
    </tableColumn>
    <tableColumn id="3" name="Costo Real" totalsRowFunction="sum" dataDxfId="121" totalsRowDxfId="37">
      <calculatedColumnFormula>+Insurance16136[[#This Row],[Costo Real]]+Insurance16[[#This Row],[Costo Real]]+Insurance[[#This Row],[Costo Real]]+Insurance1628[[#This Row],[Costo Real]]+Insurance162840[[#This Row],[Costo Real]]+Insurance16284052[[#This Row],[Costo Real]]+Insurance1628405264[[#This Row],[Costo Real]]+Insurance162840526476[[#This Row],[Costo Real]]+Insurance16284052647688[[#This Row],[Costo Real]]+Insurance16284052647688100[[#This Row],[Costo Real]]+Insurance16284052647688100112[[#This Row],[Costo Real]]+Insurance16284052647688100112124[[#This Row],[Costo Real]]</calculatedColumnFormula>
    </tableColumn>
    <tableColumn id="4" name="Diferencia" totalsRowFunction="sum" dataDxfId="120" totalsRowDxfId="36">
      <calculatedColumnFormula>Insurance16284052647688100112124148[Costo Presupuestado]-Insurance16284052647688100112124148[Costo Real]</calculatedColumnFormula>
    </tableColumn>
  </tableColumns>
  <tableStyleInfo name="TableStyleLight2" showFirstColumn="0" showLastColumn="0" showRowStripes="1" showColumnStripes="0"/>
</table>
</file>

<file path=xl/tables/table148.xml><?xml version="1.0" encoding="utf-8"?>
<table xmlns="http://schemas.openxmlformats.org/spreadsheetml/2006/main" id="148" name="Food17294153657789101113125149" displayName="Food17294153657789101113125149" ref="B44:E48" totalsRowCount="1" headerRowDxfId="119" dataDxfId="118" totalsRowDxfId="117" tableBorderDxfId="116">
  <autoFilter ref="B44:E47"/>
  <tableColumns count="4">
    <tableColumn id="1" name="Comida" totalsRowLabel="Total" dataDxfId="115" totalsRowDxfId="30"/>
    <tableColumn id="2" name="Costo Presupuestado" totalsRowFunction="sum" dataDxfId="114" totalsRowDxfId="29">
      <calculatedColumnFormula>+Food17137[[#This Row],[Costo Presupuestado]]+Food17[[#This Row],[Costo Presupuestado]]+Food[[#This Row],[Costo Presupuestado]]+Food1729[[#This Row],[Costo Presupuestado]]+Food172941[[#This Row],[Costo Presupuestado]]+Food17294153[[#This Row],[Costo Presupuestado]]+Food1729415365[[#This Row],[Costo Presupuestado]]+Food172941536577[[#This Row],[Costo Presupuestado]]+Food17294153657789[[#This Row],[Costo Presupuestado]]+Food17294153657789101[[#This Row],[Costo Presupuestado]]+Food17294153657789101113[[#This Row],[Costo Presupuestado]]+Food17294153657789101113125[[#This Row],[Costo Presupuestado]]</calculatedColumnFormula>
    </tableColumn>
    <tableColumn id="3" name="Costo Real" totalsRowFunction="sum" dataDxfId="113" totalsRowDxfId="28">
      <calculatedColumnFormula>+Food17137[[#This Row],[Costo Real]]+Food17[[#This Row],[Costo Real]]+Food[[#This Row],[Costo Real]]+Food1729[[#This Row],[Costo Real]]+Food172941[[#This Row],[Costo Real]]+Food17294153[[#This Row],[Costo Real]]+Food1729415365[[#This Row],[Costo Real]]+Food172941536577[[#This Row],[Costo Real]]+Food17294153657789[[#This Row],[Costo Real]]+Food17294153657789101[[#This Row],[Costo Real]]+Food17294153657789101113[[#This Row],[Costo Real]]+Food17294153657789101113125[[#This Row],[Costo Real]]</calculatedColumnFormula>
    </tableColumn>
    <tableColumn id="4" name="Diferencia" totalsRowFunction="sum" dataDxfId="112" totalsRowDxfId="27">
      <calculatedColumnFormula>Food17294153657789101113125149[Costo Presupuestado]-Food17294153657789101113125149[Costo Real]</calculatedColumnFormula>
    </tableColumn>
  </tableColumns>
  <tableStyleInfo name="TableStyleLight2" showFirstColumn="0" showLastColumn="0" showRowStripes="1" showColumnStripes="0"/>
</table>
</file>

<file path=xl/tables/table149.xml><?xml version="1.0" encoding="utf-8"?>
<table xmlns="http://schemas.openxmlformats.org/spreadsheetml/2006/main" id="149" name="Children18304254667890102114126150" displayName="Children18304254667890102114126150" ref="B50:E60" totalsRowCount="1" headerRowDxfId="111" dataDxfId="110" totalsRowDxfId="109" tableBorderDxfId="108">
  <autoFilter ref="B50:E59"/>
  <tableColumns count="4">
    <tableColumn id="1" name="Niños" totalsRowLabel="Total" dataDxfId="107" totalsRowDxfId="22"/>
    <tableColumn id="2" name="Costo Presupuestado" totalsRowFunction="sum" dataDxfId="106" totalsRowDxfId="21">
      <calculatedColumnFormula>+Children18138[[#This Row],[Costo Presupuestado]]+Children18[[#This Row],[Costo Presupuestado]]+Children[[#This Row],[Costo Presupuestado]]+Children1830[[#This Row],[Costo Presupuestado]]+Children183042[[#This Row],[Costo Presupuestado]]+Children18304254[[#This Row],[Costo Presupuestado]]+Children1830425466[[#This Row],[Costo Presupuestado]]+Children183042546678[[#This Row],[Costo Presupuestado]]+Children18304254667890[[#This Row],[Costo Presupuestado]]+Children18304254667890102[[#This Row],[Costo Presupuestado]]+Children18304254667890102114[[#This Row],[Costo Presupuestado]]+Children18304254667890102114126[[#This Row],[Costo Presupuestado]]</calculatedColumnFormula>
    </tableColumn>
    <tableColumn id="3" name="Costo Real" totalsRowFunction="sum" dataDxfId="105" totalsRowDxfId="20">
      <calculatedColumnFormula>+Children18138[[#This Row],[Costo Real]]+Children18[[#This Row],[Costo Real]]+Children[[#This Row],[Costo Real]]+Children1830[[#This Row],[Costo Real]]+Children183042[[#This Row],[Costo Real]]+Children18304254[[#This Row],[Costo Real]]+Children1830425466[[#This Row],[Costo Real]]+Children183042546678[[#This Row],[Costo Real]]+Children18304254667890[[#This Row],[Costo Real]]+Children18304254667890102[[#This Row],[Costo Real]]+Children18304254667890102114[[#This Row],[Costo Real]]+Children18304254667890102114126[[#This Row],[Costo Real]]</calculatedColumnFormula>
    </tableColumn>
    <tableColumn id="4" name="Diferencia" totalsRowFunction="sum" dataDxfId="104" totalsRowDxfId="19">
      <calculatedColumnFormula>Children18304254667890102114126150[Costo Presupuestado]-Children18304254667890102114126150[Costo Real]</calculatedColumnFormula>
    </tableColumn>
  </tableColumns>
  <tableStyleInfo name="TableStyleLight2" showFirstColumn="0" showLastColumn="0" showRowStripes="1" showColumnStripes="0"/>
</table>
</file>

<file path=xl/tables/table15.xml><?xml version="1.0" encoding="utf-8"?>
<table xmlns="http://schemas.openxmlformats.org/spreadsheetml/2006/main" id="15" name="Insurance16" displayName="Insurance16" ref="B37:E42" totalsRowCount="1" headerRowDxfId="1703" dataDxfId="1702" totalsRowDxfId="1701" tableBorderDxfId="1700">
  <autoFilter ref="B37:E41"/>
  <tableColumns count="4">
    <tableColumn id="1" name="Seguros" totalsRowLabel="Total" dataDxfId="1698" totalsRowDxfId="1699"/>
    <tableColumn id="2" name="Costo Presupuestado" totalsRowFunction="sum" dataDxfId="1696" totalsRowDxfId="1697"/>
    <tableColumn id="3" name="Costo Real" totalsRowFunction="sum" dataDxfId="1694" totalsRowDxfId="1695"/>
    <tableColumn id="4" name="Diferencia" totalsRowFunction="sum" dataDxfId="1692" totalsRowDxfId="1693">
      <calculatedColumnFormula>Insurance16[Costo Presupuestado]-Insurance16[Costo Real]</calculatedColumnFormula>
    </tableColumn>
  </tableColumns>
  <tableStyleInfo name="TableStyleLight2" showFirstColumn="0" showLastColumn="0" showRowStripes="1" showColumnStripes="0"/>
</table>
</file>

<file path=xl/tables/table150.xml><?xml version="1.0" encoding="utf-8"?>
<table xmlns="http://schemas.openxmlformats.org/spreadsheetml/2006/main" id="150" name="Pets19314355677991103115127151" displayName="Pets19314355677991103115127151" ref="G36:J42" totalsRowCount="1" headerRowDxfId="103" dataDxfId="102" totalsRowDxfId="101" tableBorderDxfId="100">
  <autoFilter ref="G36:J41"/>
  <tableColumns count="4">
    <tableColumn id="1" name="Mascotas" totalsRowLabel="Total" dataDxfId="99" totalsRowDxfId="34"/>
    <tableColumn id="2" name="Costo Presupuestado" totalsRowFunction="sum" dataDxfId="35" totalsRowDxfId="33">
      <calculatedColumnFormula>+Pets19139[[#This Row],[Costo Presupuestado]]+Pets19[[#This Row],[Costo Presupuestado]]+Pets[[#This Row],[Costo Presupuestado]]+Pets1931[[#This Row],[Costo Presupuestado]]+Pets193143[[#This Row],[Costo Presupuestado]]+Pets19314355[[#This Row],[Costo Presupuestado]]+Pets1931435567[[#This Row],[Costo Presupuestado]]+Pets193143556779[[#This Row],[Costo Presupuestado]]+Pets19314355677991[[#This Row],[Costo Presupuestado]]+Pets19314355677991103[[#This Row],[Costo Presupuestado]]+Pets19314355677991103115[[#This Row],[Costo Presupuestado]]+Pets19314355677991103115127[[#This Row],[Costo Presupuestado]]</calculatedColumnFormula>
    </tableColumn>
    <tableColumn id="3" name="Costo Real" totalsRowFunction="sum" dataDxfId="98" totalsRowDxfId="32">
      <calculatedColumnFormula>+Pets19139[[#This Row],[Costo Real]]+Pets19[[#This Row],[Costo Real]]+Pets[[#This Row],[Costo Real]]+Pets1931[[#This Row],[Costo Real]]+Pets193143[[#This Row],[Costo Real]]+Pets19314355[[#This Row],[Costo Real]]+Pets1931435567[[#This Row],[Costo Real]]+Pets193143556779[[#This Row],[Costo Real]]+Pets19314355677991[[#This Row],[Costo Real]]+Pets19314355677991103[[#This Row],[Costo Real]]+Pets19314355677991103115[[#This Row],[Costo Real]]+Pets19314355677991103115127[[#This Row],[Costo Real]]</calculatedColumnFormula>
    </tableColumn>
    <tableColumn id="4" name="Diferencia" totalsRowFunction="sum" dataDxfId="97" totalsRowDxfId="31">
      <calculatedColumnFormula>Pets19314355677991103115127151[Costo Presupuestado]-Pets19314355677991103115127151[Costo Real]</calculatedColumnFormula>
    </tableColumn>
  </tableColumns>
  <tableStyleInfo name="TableStyleLight2" showFirstColumn="0" showLastColumn="0" showRowStripes="1" showColumnStripes="0"/>
</table>
</file>

<file path=xl/tables/table151.xml><?xml version="1.0" encoding="utf-8"?>
<table xmlns="http://schemas.openxmlformats.org/spreadsheetml/2006/main" id="151" name="PersonalCare20324456688092104116128152" displayName="PersonalCare20324456688092104116128152" ref="G44:J51" totalsRowCount="1" headerRowDxfId="96" dataDxfId="95" totalsRowDxfId="94" tableBorderDxfId="93">
  <autoFilter ref="G44:J50"/>
  <tableColumns count="4">
    <tableColumn id="1" name="Cuidado Personal" totalsRowLabel="Total" dataDxfId="92" totalsRowDxfId="26"/>
    <tableColumn id="2" name="Costo Presupuestado" totalsRowFunction="sum" dataDxfId="91" totalsRowDxfId="25">
      <calculatedColumnFormula>+PersonalCare20140[[#This Row],[Costo Presupuestado]]+PersonalCare20[[#This Row],[Costo Presupuestado]]+PersonalCare[[#This Row],[Costo Presupuestado]]+PersonalCare2032[[#This Row],[Costo Presupuestado]]+PersonalCare203244[[#This Row],[Costo Presupuestado]]+PersonalCare20324456[[#This Row],[Costo Presupuestado]]+PersonalCare2032445668[[#This Row],[Costo Presupuestado]]+PersonalCare203244566880[[#This Row],[Costo Presupuestado]]+PersonalCare20324456688092[[#This Row],[Costo Presupuestado]]+PersonalCare20324456688092104[[#This Row],[Costo Presupuestado]]+PersonalCare20324456688092104116[[#This Row],[Costo Presupuestado]]+PersonalCare20324456688092104116128[[#This Row],[Costo Presupuestado]]</calculatedColumnFormula>
    </tableColumn>
    <tableColumn id="3" name="Costo Real" totalsRowFunction="sum" dataDxfId="90" totalsRowDxfId="24">
      <calculatedColumnFormula>+PersonalCare20140[[#This Row],[Costo Real]]+PersonalCare20[[#This Row],[Costo Real]]+PersonalCare[[#This Row],[Costo Real]]+PersonalCare2032[[#This Row],[Costo Real]]+PersonalCare203244[[#This Row],[Costo Real]]+PersonalCare20324456[[#This Row],[Costo Real]]+PersonalCare2032445668[[#This Row],[Costo Real]]+PersonalCare203244566880[[#This Row],[Costo Real]]+PersonalCare20324456688092[[#This Row],[Costo Real]]+PersonalCare20324456688092104[[#This Row],[Costo Real]]+PersonalCare20324456688092104116[[#This Row],[Costo Real]]+PersonalCare20324456688092104116128[[#This Row],[Costo Real]]</calculatedColumnFormula>
    </tableColumn>
    <tableColumn id="4" name="Diferencia" totalsRowFunction="sum" dataDxfId="89" totalsRowDxfId="23">
      <calculatedColumnFormula>PersonalCare20324456688092104116128152[Costo Presupuestado]-PersonalCare20324456688092104116128152[Costo Real]</calculatedColumnFormula>
    </tableColumn>
  </tableColumns>
  <tableStyleInfo name="TableStyleLight2" showFirstColumn="0" showLastColumn="0" showRowStripes="1" showColumnStripes="0"/>
</table>
</file>

<file path=xl/tables/table152.xml><?xml version="1.0" encoding="utf-8"?>
<table xmlns="http://schemas.openxmlformats.org/spreadsheetml/2006/main" id="152" name="Entertainment21334557698193105117129153" displayName="Entertainment21334557698193105117129153" ref="G20:J28" totalsRowCount="1" headerRowDxfId="88" dataDxfId="87" totalsRowDxfId="86" tableBorderDxfId="85">
  <autoFilter ref="G20:J27"/>
  <tableColumns count="4">
    <tableColumn id="1" name="Entretenimiento" totalsRowLabel="Total" dataDxfId="84" totalsRowDxfId="8"/>
    <tableColumn id="2" name="Costo Presupuestado" totalsRowFunction="sum" dataDxfId="83" totalsRowDxfId="7">
      <calculatedColumnFormula>+Entertainment21141[[#This Row],[Costo Presupuestado]]+Entertainment21[[#This Row],[Costo Presupuestado]]+Entertainment[[#This Row],[Costo Presupuestado]]+Entertainment2133[[#This Row],[Costo Presupuestado]]+Entertainment213345[[#This Row],[Costo Presupuestado]]+Entertainment21334557[[#This Row],[Costo Presupuestado]]+Entertainment2133455769[[#This Row],[Costo Presupuestado]]+Entertainment213345576981[[#This Row],[Costo Presupuestado]]+Entertainment21334557698193[[#This Row],[Costo Presupuestado]]+Entertainment21334557698193105[[#This Row],[Costo Presupuestado]]+Entertainment21334557698193105117[[#This Row],[Costo Presupuestado]]+Entertainment21334557698193105117129[[#This Row],[Costo Presupuestado]]</calculatedColumnFormula>
    </tableColumn>
    <tableColumn id="3" name="Costo Real" totalsRowFunction="sum" dataDxfId="82" totalsRowDxfId="6">
      <calculatedColumnFormula>+Entertainment21141[[#This Row],[Costo Real]]+Entertainment21[[#This Row],[Costo Real]]+Entertainment[[#This Row],[Costo Real]]+Entertainment2133[[#This Row],[Costo Real]]+Entertainment213345[[#This Row],[Costo Real]]+Entertainment21334557[[#This Row],[Costo Real]]+Entertainment2133455769[[#This Row],[Costo Real]]+Entertainment213345576981[[#This Row],[Costo Real]]+Entertainment21334557698193[[#This Row],[Costo Real]]+Entertainment21334557698193105[[#This Row],[Costo Real]]+Entertainment21334557698193105117[[#This Row],[Costo Real]]+Entertainment21334557698193105117129[[#This Row],[Costo Real]]</calculatedColumnFormula>
    </tableColumn>
    <tableColumn id="4" name="Diferencia" totalsRowFunction="sum" dataDxfId="81" totalsRowDxfId="5">
      <calculatedColumnFormula>Entertainment21334557698193105117129153[Costo Presupuestado]-Entertainment21334557698193105117129153[Costo Real]</calculatedColumnFormula>
    </tableColumn>
  </tableColumns>
  <tableStyleInfo name="TableStyleLight2" showFirstColumn="0" showLastColumn="0" showRowStripes="1" showColumnStripes="0"/>
</table>
</file>

<file path=xl/tables/table153.xml><?xml version="1.0" encoding="utf-8"?>
<table xmlns="http://schemas.openxmlformats.org/spreadsheetml/2006/main" id="153" name="Loans22344658708294106118130154" displayName="Loans22344658708294106118130154" ref="G53:J60" totalsRowCount="1" headerRowDxfId="80" dataDxfId="79" totalsRowDxfId="78" tableBorderDxfId="77">
  <autoFilter ref="G53:J59"/>
  <tableColumns count="4">
    <tableColumn id="1" name="Gastos Financieros/ Prestamos" totalsRowLabel="Total" dataDxfId="76" totalsRowDxfId="17"/>
    <tableColumn id="2" name="Costo Presupuestado" totalsRowFunction="sum" dataDxfId="18" totalsRowDxfId="16">
      <calculatedColumnFormula>+Loans22142[[#This Row],[Costo Presupuestado]]+Loans22[[#This Row],[Costo Presupuestado]]+Loans[[#This Row],[Costo Presupuestado]]+Loans2234[[#This Row],[Costo Presupuestado]]+Loans223446[[#This Row],[Costo Presupuestado]]+Loans22344658[[#This Row],[Costo Presupuestado]]+Loans2234465870[[#This Row],[Costo Presupuestado]]+Loans223446587082[[#This Row],[Costo Presupuestado]]+Loans22344658708294[[#This Row],[Costo Presupuestado]]+Loans22344658708294106[[#This Row],[Costo Presupuestado]]+Loans22344658708294106118[[#This Row],[Costo Presupuestado]]+Loans22344658708294106118130[[#This Row],[Costo Presupuestado]]</calculatedColumnFormula>
    </tableColumn>
    <tableColumn id="3" name="Costo Real" totalsRowFunction="sum" dataDxfId="75" totalsRowDxfId="15">
      <calculatedColumnFormula>+Loans22142[[#This Row],[Costo Real]]+Loans22[[#This Row],[Costo Real]]+Loans[[#This Row],[Costo Real]]+Loans2234[[#This Row],[Costo Real]]+Loans223446[[#This Row],[Costo Real]]+Loans22344658[[#This Row],[Costo Real]]+Loans2234465870[[#This Row],[Costo Real]]+Loans223446587082[[#This Row],[Costo Real]]+Loans22344658708294[[#This Row],[Costo Real]]+Loans22344658708294106[[#This Row],[Costo Real]]+Loans22344658708294106118[[#This Row],[Costo Real]]+Loans22344658708294106118130[[#This Row],[Costo Real]]</calculatedColumnFormula>
    </tableColumn>
    <tableColumn id="4" name="Diferencia" totalsRowFunction="sum" dataDxfId="74" totalsRowDxfId="14">
      <calculatedColumnFormula>Loans22344658708294106118130154[Costo Presupuestado]-Loans22344658708294106118130154[Costo Real]</calculatedColumnFormula>
    </tableColumn>
  </tableColumns>
  <tableStyleInfo name="TableStyleLight2" showFirstColumn="0" showLastColumn="0" showRowStripes="1" showColumnStripes="0"/>
</table>
</file>

<file path=xl/tables/table154.xml><?xml version="1.0" encoding="utf-8"?>
<table xmlns="http://schemas.openxmlformats.org/spreadsheetml/2006/main" id="154" name="Savings23354759718395107119131155" displayName="Savings23354759718395107119131155" ref="B6:E12" totalsRowCount="1" headerRowDxfId="73" dataDxfId="72" totalsRowDxfId="71" tableBorderDxfId="70">
  <autoFilter ref="B6:E11"/>
  <tableColumns count="4">
    <tableColumn id="1" name="Ahorro/ Inversiones" totalsRowLabel="Total" dataDxfId="69" totalsRowDxfId="51"/>
    <tableColumn id="2" name="Costo Presupuestado" totalsRowFunction="sum" dataDxfId="52" totalsRowDxfId="50">
      <calculatedColumnFormula>+Savings23143[[#This Row],[Costo Presupuestado]]+Savings23[[#This Row],[Costo Presupuestado]]+Savings[[#This Row],[Costo Presupuestado]]+Savings2335[[#This Row],[Costo Presupuestado]]+Savings233547[[#This Row],[Costo Presupuestado]]+Savings23354759[[#This Row],[Costo Presupuestado]]+Savings2335475971[[#This Row],[Costo Presupuestado]]+Savings233547597183[[#This Row],[Costo Presupuestado]]+Savings23354759718395[[#This Row],[Costo Presupuestado]]+Savings23354759718395107[[#This Row],[Costo Presupuestado]]+Savings23354759718395107119[[#This Row],[Costo Presupuestado]]+Savings23354759718395107119131[[#This Row],[Costo Presupuestado]]</calculatedColumnFormula>
    </tableColumn>
    <tableColumn id="3" name="Costo Real" totalsRowFunction="sum" dataDxfId="68" totalsRowDxfId="49">
      <calculatedColumnFormula>+Savings23143[[#This Row],[Costo Real]]+Savings23[[#This Row],[Costo Real]]+Savings[[#This Row],[Costo Real]]+Savings2335[[#This Row],[Costo Real]]+Savings233547[[#This Row],[Costo Real]]+Savings23354759[[#This Row],[Costo Real]]+Savings2335475971[[#This Row],[Costo Real]]+Savings233547597183[[#This Row],[Costo Real]]+Savings23354759718395[[#This Row],[Costo Real]]+Savings23354759718395107[[#This Row],[Costo Real]]+Savings23354759718395107119[[#This Row],[Costo Real]]+Savings23354759718395107119131[[#This Row],[Costo Real]]</calculatedColumnFormula>
    </tableColumn>
    <tableColumn id="4" name="Diferencia" totalsRowFunction="sum" dataDxfId="67" totalsRowDxfId="48">
      <calculatedColumnFormula>Savings23354759718395107119131155[Costo Presupuestado]-Savings23354759718395107119131155[Costo Real]</calculatedColumnFormula>
    </tableColumn>
  </tableColumns>
  <tableStyleInfo name="TableStyleLight2" showFirstColumn="0" showLastColumn="0" showRowStripes="1" showColumnStripes="0"/>
</table>
</file>

<file path=xl/tables/table155.xml><?xml version="1.0" encoding="utf-8"?>
<table xmlns="http://schemas.openxmlformats.org/spreadsheetml/2006/main" id="155" name="Gifts24364860728496108120132156" displayName="Gifts24364860728496108120132156" ref="G30:J34" totalsRowCount="1" headerRowDxfId="66" dataDxfId="65" totalsRowDxfId="64" tableBorderDxfId="63">
  <autoFilter ref="G30:J33"/>
  <tableColumns count="4">
    <tableColumn id="1" name="Regalos y Donaciones" totalsRowLabel="Total" dataDxfId="62" totalsRowDxfId="4"/>
    <tableColumn id="2" name="Costo Presupuestado" totalsRowFunction="sum" dataDxfId="0" totalsRowDxfId="3">
      <calculatedColumnFormula>+Gifts24144[[#This Row],[Costo Presupuestado]]+Gifts24[[#This Row],[Costo Presupuestado]]+Gifts[[#This Row],[Costo Presupuestado]]+Gifts2436[[#This Row],[Costo Presupuestado]]+Gifts243648[[#This Row],[Costo Presupuestado]]+Gifts24364860[[#This Row],[Costo Presupuestado]]+Gifts2436486072[[#This Row],[Costo Presupuestado]]+Gifts243648607284[[#This Row],[Costo Presupuestado]]+Gifts24364860728496[[#This Row],[Costo Presupuestado]]+Gifts24364860728496108[[#This Row],[Costo Presupuestado]]+Gifts24364860728496108120[[#This Row],[Costo Presupuestado]]+Gifts24364860728496108120132[[#This Row],[Costo Presupuestado]]</calculatedColumnFormula>
    </tableColumn>
    <tableColumn id="3" name="Costo Real" totalsRowFunction="sum" dataDxfId="61" totalsRowDxfId="2"/>
    <tableColumn id="4" name="Diferencia" totalsRowFunction="sum" dataDxfId="60" totalsRowDxfId="1">
      <calculatedColumnFormula>Gifts24364860728496108120132156[Costo Presupuestado]-Gifts24364860728496108120132156[Costo Real]</calculatedColumnFormula>
    </tableColumn>
  </tableColumns>
  <tableStyleInfo name="TableStyleLight2" showFirstColumn="0" showLastColumn="0" showRowStripes="1" showColumnStripes="0"/>
</table>
</file>

<file path=xl/tables/table156.xml><?xml version="1.0" encoding="utf-8"?>
<table xmlns="http://schemas.openxmlformats.org/spreadsheetml/2006/main" id="156" name="Legal25374961738597109121133157" displayName="Legal25374961738597109121133157" ref="G62:J66" totalsRowCount="1" headerRowDxfId="59" dataDxfId="58" totalsRowDxfId="57" tableBorderDxfId="56">
  <autoFilter ref="G62:J65"/>
  <tableColumns count="4">
    <tableColumn id="1" name="Gastos Legales" totalsRowLabel="Total" dataDxfId="55" totalsRowDxfId="12"/>
    <tableColumn id="2" name="Costo Presupuestado" totalsRowFunction="sum" dataDxfId="13" totalsRowDxfId="11">
      <calculatedColumnFormula>+Legal25145[[#This Row],[Costo Presupuestado]]+Legal25[[#This Row],[Costo Presupuestado]]+Legal[[#This Row],[Costo Presupuestado]]+Legal2537[[#This Row],[Costo Presupuestado]]+Legal253749[[#This Row],[Costo Presupuestado]]+Legal25374961[[#This Row],[Costo Presupuestado]]+Legal2537496173[[#This Row],[Costo Presupuestado]]+Legal253749617385[[#This Row],[Costo Presupuestado]]+Legal25374961738597[[#This Row],[Costo Presupuestado]]+Legal25374961738597109[[#This Row],[Costo Presupuestado]]+Legal25374961738597109121[[#This Row],[Costo Presupuestado]]+Legal25374961738597109121133[[#This Row],[Costo Presupuestado]]</calculatedColumnFormula>
    </tableColumn>
    <tableColumn id="3" name="Costo Real" totalsRowFunction="sum" dataDxfId="54" totalsRowDxfId="10">
      <calculatedColumnFormula>+Legal25145[[#This Row],[Costo Real]]+Legal25[[#This Row],[Costo Real]]+Legal[[#This Row],[Costo Real]]+Legal2537[[#This Row],[Costo Real]]+Legal253749[[#This Row],[Costo Real]]+Legal25374961[[#This Row],[Costo Real]]+Legal2537496173[[#This Row],[Costo Real]]+Legal253749617385[[#This Row],[Costo Real]]+Legal25374961738597[[#This Row],[Costo Real]]+Legal25374961738597109[[#This Row],[Costo Real]]+Legal25374961738597109121[[#This Row],[Costo Real]]+Legal25374961738597109121133[[#This Row],[Costo Real]]</calculatedColumnFormula>
    </tableColumn>
    <tableColumn id="4" name="Diferencia" totalsRowFunction="sum" dataDxfId="53" totalsRowDxfId="9">
      <calculatedColumnFormula>Legal25374961738597109121133157[Costo Presupuestado]-Legal25374961738597109121133157[Costo Real]</calculatedColumnFormula>
    </tableColumn>
  </tableColumns>
  <tableStyleInfo name="TableStyleLight2" showFirstColumn="0" showLastColumn="0" showRowStripes="1" showColumnStripes="0"/>
</table>
</file>

<file path=xl/tables/table16.xml><?xml version="1.0" encoding="utf-8"?>
<table xmlns="http://schemas.openxmlformats.org/spreadsheetml/2006/main" id="16" name="Food17" displayName="Food17" ref="B44:E48" totalsRowCount="1" headerRowDxfId="1691" dataDxfId="1690" totalsRowDxfId="1689" tableBorderDxfId="1688">
  <autoFilter ref="B44:E47"/>
  <tableColumns count="4">
    <tableColumn id="1" name="Comida" totalsRowLabel="Total" dataDxfId="1686" totalsRowDxfId="1687"/>
    <tableColumn id="2" name="Costo Presupuestado" totalsRowFunction="sum" dataDxfId="1684" totalsRowDxfId="1685"/>
    <tableColumn id="3" name="Costo Real" totalsRowFunction="sum" dataDxfId="1682" totalsRowDxfId="1683"/>
    <tableColumn id="4" name="Diferencia" totalsRowFunction="sum" dataDxfId="1680" totalsRowDxfId="1681">
      <calculatedColumnFormula>Food17[Costo Presupuestado]-Food17[Costo Real]</calculatedColumnFormula>
    </tableColumn>
  </tableColumns>
  <tableStyleInfo name="TableStyleLight2" showFirstColumn="0" showLastColumn="0" showRowStripes="1" showColumnStripes="0"/>
</table>
</file>

<file path=xl/tables/table17.xml><?xml version="1.0" encoding="utf-8"?>
<table xmlns="http://schemas.openxmlformats.org/spreadsheetml/2006/main" id="17" name="Children18" displayName="Children18" ref="B50:E60" totalsRowCount="1" headerRowDxfId="1679" dataDxfId="1678" totalsRowDxfId="1677" tableBorderDxfId="1676">
  <autoFilter ref="B50:E59"/>
  <tableColumns count="4">
    <tableColumn id="1" name="Niños" totalsRowLabel="Total" dataDxfId="1674" totalsRowDxfId="1675"/>
    <tableColumn id="2" name="Costo Presupuestado" totalsRowFunction="sum" dataDxfId="1672" totalsRowDxfId="1673"/>
    <tableColumn id="3" name="Costo Real" totalsRowFunction="sum" dataDxfId="1670" totalsRowDxfId="1671"/>
    <tableColumn id="4" name="Diferencia" totalsRowFunction="sum" dataDxfId="1668" totalsRowDxfId="1669">
      <calculatedColumnFormula>Children18[Costo Presupuestado]-Children18[Costo Real]</calculatedColumnFormula>
    </tableColumn>
  </tableColumns>
  <tableStyleInfo name="TableStyleLight2" showFirstColumn="0" showLastColumn="0" showRowStripes="1" showColumnStripes="0"/>
</table>
</file>

<file path=xl/tables/table18.xml><?xml version="1.0" encoding="utf-8"?>
<table xmlns="http://schemas.openxmlformats.org/spreadsheetml/2006/main" id="18" name="Pets19" displayName="Pets19" ref="G36:J42" totalsRowCount="1" headerRowDxfId="1667" dataDxfId="1666" totalsRowDxfId="1665" tableBorderDxfId="1664">
  <autoFilter ref="G36:J41"/>
  <tableColumns count="4">
    <tableColumn id="1" name="Mascotas" totalsRowLabel="Total" dataDxfId="1662" totalsRowDxfId="1663"/>
    <tableColumn id="2" name="Costo Presupuestado" totalsRowFunction="sum" dataDxfId="1660" totalsRowDxfId="1661"/>
    <tableColumn id="3" name="Costo Real" totalsRowFunction="sum" dataDxfId="1658" totalsRowDxfId="1659"/>
    <tableColumn id="4" name="Diferencia" totalsRowFunction="sum" dataDxfId="1656" totalsRowDxfId="1657">
      <calculatedColumnFormula>Pets19[Costo Presupuestado]-Pets19[Costo Real]</calculatedColumnFormula>
    </tableColumn>
  </tableColumns>
  <tableStyleInfo name="TableStyleLight2" showFirstColumn="0" showLastColumn="0" showRowStripes="1" showColumnStripes="0"/>
</table>
</file>

<file path=xl/tables/table19.xml><?xml version="1.0" encoding="utf-8"?>
<table xmlns="http://schemas.openxmlformats.org/spreadsheetml/2006/main" id="19" name="PersonalCare20" displayName="PersonalCare20" ref="G44:J51" totalsRowCount="1" headerRowDxfId="1655" dataDxfId="1654" totalsRowDxfId="1653" tableBorderDxfId="1652">
  <autoFilter ref="G44:J50"/>
  <tableColumns count="4">
    <tableColumn id="1" name="Cuidado Personal" totalsRowLabel="Total" dataDxfId="1650" totalsRowDxfId="1651"/>
    <tableColumn id="2" name="Costo Presupuestado" totalsRowFunction="sum" dataDxfId="1648" totalsRowDxfId="1649"/>
    <tableColumn id="3" name="Costo Real" totalsRowFunction="sum" dataDxfId="1646" totalsRowDxfId="1647"/>
    <tableColumn id="4" name="Diferencia" totalsRowFunction="sum" dataDxfId="1644" totalsRowDxfId="1645">
      <calculatedColumnFormula>PersonalCare20[Costo Presupuestado]-PersonalCare20[Costo Real]</calculatedColumnFormula>
    </tableColumn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id="134" name="Transportation15135" displayName="Transportation15135" ref="B27:E35" totalsRowCount="1" headerRowDxfId="275" dataDxfId="274" totalsRowDxfId="273" tableBorderDxfId="272">
  <autoFilter ref="B27:E34"/>
  <tableColumns count="4">
    <tableColumn id="1" name="Transporte" totalsRowLabel="Total" dataDxfId="270" totalsRowDxfId="271"/>
    <tableColumn id="2" name="Costo Presupuestado" totalsRowFunction="sum" dataDxfId="268" totalsRowDxfId="269"/>
    <tableColumn id="3" name="Costo Real" totalsRowFunction="sum" dataDxfId="266" totalsRowDxfId="267"/>
    <tableColumn id="4" name="Diferencia" totalsRowFunction="sum" dataDxfId="264" totalsRowDxfId="265">
      <calculatedColumnFormula>Transportation15135[Costo Presupuestado]-Transportation15135[Costo Real]</calculatedColumnFormula>
    </tableColumn>
  </tableColumns>
  <tableStyleInfo name="TableStyleLight2" showFirstColumn="0" showLastColumn="0" showRowStripes="1" showColumnStripes="0"/>
</table>
</file>

<file path=xl/tables/table20.xml><?xml version="1.0" encoding="utf-8"?>
<table xmlns="http://schemas.openxmlformats.org/spreadsheetml/2006/main" id="20" name="Entertainment21" displayName="Entertainment21" ref="G20:J28" totalsRowCount="1" headerRowDxfId="1643" dataDxfId="1642" totalsRowDxfId="1641" tableBorderDxfId="1640">
  <autoFilter ref="G20:J27"/>
  <tableColumns count="4">
    <tableColumn id="1" name="Entretenimiento" totalsRowLabel="Total" dataDxfId="1638" totalsRowDxfId="1639"/>
    <tableColumn id="2" name="Costo Presupuestado" totalsRowFunction="sum" dataDxfId="1636" totalsRowDxfId="1637"/>
    <tableColumn id="3" name="Costo Real" totalsRowFunction="sum" dataDxfId="1634" totalsRowDxfId="1635"/>
    <tableColumn id="4" name="Diferencia" totalsRowFunction="sum" dataDxfId="1632" totalsRowDxfId="1633">
      <calculatedColumnFormula>Entertainment21[Costo Presupuestado]-Entertainment21[Costo Real]</calculatedColumnFormula>
    </tableColumn>
  </tableColumns>
  <tableStyleInfo name="TableStyleLight2" showFirstColumn="0" showLastColumn="0" showRowStripes="1" showColumnStripes="0"/>
</table>
</file>

<file path=xl/tables/table21.xml><?xml version="1.0" encoding="utf-8"?>
<table xmlns="http://schemas.openxmlformats.org/spreadsheetml/2006/main" id="21" name="Loans22" displayName="Loans22" ref="G53:J60" totalsRowCount="1" headerRowDxfId="1631" dataDxfId="1630" totalsRowDxfId="1629" tableBorderDxfId="1628">
  <autoFilter ref="G53:J59"/>
  <tableColumns count="4">
    <tableColumn id="1" name="Gastos Financieros/ Prestamos" totalsRowLabel="Total" dataDxfId="1626" totalsRowDxfId="1627"/>
    <tableColumn id="2" name="Costo Presupuestado" totalsRowFunction="sum" dataDxfId="1624" totalsRowDxfId="1625"/>
    <tableColumn id="3" name="Costo Real" totalsRowFunction="sum" dataDxfId="1622" totalsRowDxfId="1623"/>
    <tableColumn id="4" name="Diferencia" totalsRowFunction="sum" dataDxfId="1620" totalsRowDxfId="1621">
      <calculatedColumnFormula>Loans22[Costo Presupuestado]-Loans22[Costo Real]</calculatedColumnFormula>
    </tableColumn>
  </tableColumns>
  <tableStyleInfo name="TableStyleLight2" showFirstColumn="0" showLastColumn="0" showRowStripes="1" showColumnStripes="0"/>
</table>
</file>

<file path=xl/tables/table22.xml><?xml version="1.0" encoding="utf-8"?>
<table xmlns="http://schemas.openxmlformats.org/spreadsheetml/2006/main" id="22" name="Savings23" displayName="Savings23" ref="B6:E12" totalsRowCount="1" headerRowDxfId="1619" dataDxfId="1618" totalsRowDxfId="1617" tableBorderDxfId="1616">
  <autoFilter ref="B6:E11"/>
  <tableColumns count="4">
    <tableColumn id="1" name="Ahorro/ Inversiones" totalsRowLabel="Total" dataDxfId="1614" totalsRowDxfId="1615"/>
    <tableColumn id="2" name="Costo Presupuestado" totalsRowFunction="sum" dataDxfId="1612" totalsRowDxfId="1613"/>
    <tableColumn id="3" name="Costo Real" totalsRowFunction="sum" dataDxfId="1610" totalsRowDxfId="1611"/>
    <tableColumn id="4" name="Diferencia" totalsRowFunction="sum" dataDxfId="1608" totalsRowDxfId="1609">
      <calculatedColumnFormula>Savings23[Costo Presupuestado]-Savings23[Costo Real]</calculatedColumnFormula>
    </tableColumn>
  </tableColumns>
  <tableStyleInfo name="TableStyleLight2" showFirstColumn="0" showLastColumn="0" showRowStripes="1" showColumnStripes="0"/>
</table>
</file>

<file path=xl/tables/table23.xml><?xml version="1.0" encoding="utf-8"?>
<table xmlns="http://schemas.openxmlformats.org/spreadsheetml/2006/main" id="23" name="Gifts24" displayName="Gifts24" ref="G30:J34" totalsRowCount="1" headerRowDxfId="1607" dataDxfId="1606" totalsRowDxfId="1605" tableBorderDxfId="1604">
  <autoFilter ref="G30:J33"/>
  <tableColumns count="4">
    <tableColumn id="1" name="Regalos y Donaciones" totalsRowLabel="Total" dataDxfId="1602" totalsRowDxfId="1603"/>
    <tableColumn id="2" name="Costo Presupuestado" totalsRowFunction="sum" dataDxfId="1600" totalsRowDxfId="1601"/>
    <tableColumn id="3" name="Costo Real" totalsRowFunction="sum" dataDxfId="1598" totalsRowDxfId="1599"/>
    <tableColumn id="4" name="Diferencia" totalsRowFunction="sum" dataDxfId="1596" totalsRowDxfId="1597">
      <calculatedColumnFormula>Gifts24[Costo Presupuestado]-Gifts24[Costo Real]</calculatedColumnFormula>
    </tableColumn>
  </tableColumns>
  <tableStyleInfo name="TableStyleLight2" showFirstColumn="0" showLastColumn="0" showRowStripes="1" showColumnStripes="0"/>
</table>
</file>

<file path=xl/tables/table24.xml><?xml version="1.0" encoding="utf-8"?>
<table xmlns="http://schemas.openxmlformats.org/spreadsheetml/2006/main" id="24" name="Legal25" displayName="Legal25" ref="G62:J66" totalsRowCount="1" headerRowDxfId="1595" dataDxfId="1594" totalsRowDxfId="1593" tableBorderDxfId="1592">
  <autoFilter ref="G62:J65"/>
  <tableColumns count="4">
    <tableColumn id="1" name="Gastos Legales" totalsRowLabel="Total" dataDxfId="1590" totalsRowDxfId="1591"/>
    <tableColumn id="2" name="Costo Presupuestado" totalsRowFunction="sum" dataDxfId="1588" totalsRowDxfId="1589"/>
    <tableColumn id="3" name="Costo Real" totalsRowFunction="sum" dataDxfId="1586" totalsRowDxfId="1587"/>
    <tableColumn id="4" name="Diferencia" totalsRowFunction="sum" dataDxfId="1584" totalsRowDxfId="1585">
      <calculatedColumnFormula>Legal25[Costo Presupuestado]-Legal25[Costo Real]</calculatedColumnFormula>
    </tableColumn>
  </tableColumns>
  <tableStyleInfo name="TableStyleLight2" showFirstColumn="0" showLastColumn="0" showRowStripes="1" showColumnStripes="0"/>
</table>
</file>

<file path=xl/tables/table25.xml><?xml version="1.0" encoding="utf-8"?>
<table xmlns="http://schemas.openxmlformats.org/spreadsheetml/2006/main" id="1" name="Housing" displayName="Housing" ref="B14:E25" totalsRowCount="1" headerRowDxfId="1871" dataDxfId="1870" totalsRowDxfId="1868" tableBorderDxfId="1869">
  <autoFilter ref="B14:E24"/>
  <tableColumns count="4">
    <tableColumn id="1" name="Vivienda" totalsRowLabel="Total" dataDxfId="1867" totalsRowDxfId="1866"/>
    <tableColumn id="2" name="Costo Presupuestado" totalsRowFunction="sum" dataDxfId="1865" totalsRowDxfId="1864"/>
    <tableColumn id="3" name="Costo Real" totalsRowFunction="sum" dataDxfId="1863" totalsRowDxfId="1862"/>
    <tableColumn id="4" name="Diferencia" totalsRowFunction="sum" dataDxfId="1861" totalsRowDxfId="1860">
      <calculatedColumnFormula>Housing[Costo Presupuestado]-Housing[Costo Real]</calculatedColumnFormula>
    </tableColumn>
  </tableColumns>
  <tableStyleInfo name="TableStyleLight2" showFirstColumn="0" showLastColumn="0" showRowStripes="1" showColumnStripes="0"/>
</table>
</file>

<file path=xl/tables/table26.xml><?xml version="1.0" encoding="utf-8"?>
<table xmlns="http://schemas.openxmlformats.org/spreadsheetml/2006/main" id="2" name="Transportation" displayName="Transportation" ref="B27:E35" totalsRowCount="1" headerRowDxfId="1859" dataDxfId="1858" totalsRowDxfId="1856" tableBorderDxfId="1857">
  <autoFilter ref="B27:E34"/>
  <tableColumns count="4">
    <tableColumn id="1" name="Transporte" totalsRowLabel="Total" dataDxfId="1855" totalsRowDxfId="1854"/>
    <tableColumn id="2" name="Costo Presupuestado" totalsRowFunction="sum" dataDxfId="1853" totalsRowDxfId="1852"/>
    <tableColumn id="3" name="Costo Real" totalsRowFunction="sum" dataDxfId="1851" totalsRowDxfId="1850"/>
    <tableColumn id="4" name="Diferencia" totalsRowFunction="sum" dataDxfId="1849" totalsRowDxfId="1848">
      <calculatedColumnFormula>Transportation[Costo Presupuestado]-Transportation[Costo Real]</calculatedColumnFormula>
    </tableColumn>
  </tableColumns>
  <tableStyleInfo name="TableStyleLight2" showFirstColumn="0" showLastColumn="0" showRowStripes="1" showColumnStripes="0"/>
</table>
</file>

<file path=xl/tables/table27.xml><?xml version="1.0" encoding="utf-8"?>
<table xmlns="http://schemas.openxmlformats.org/spreadsheetml/2006/main" id="3" name="Insurance" displayName="Insurance" ref="B37:E42" totalsRowCount="1" headerRowDxfId="1847" dataDxfId="1846" totalsRowDxfId="1844" tableBorderDxfId="1845">
  <autoFilter ref="B37:E41"/>
  <tableColumns count="4">
    <tableColumn id="1" name="Seguros" totalsRowLabel="Total" dataDxfId="1843" totalsRowDxfId="1842"/>
    <tableColumn id="2" name="Costo Presupuestado" totalsRowFunction="sum" dataDxfId="1841" totalsRowDxfId="1840"/>
    <tableColumn id="3" name="Costo Real" totalsRowFunction="sum" dataDxfId="1839" totalsRowDxfId="1838"/>
    <tableColumn id="4" name="Diferencia" totalsRowFunction="sum" dataDxfId="1837" totalsRowDxfId="1836">
      <calculatedColumnFormula>Insurance[Costo Presupuestado]-Insurance[Costo Real]</calculatedColumnFormula>
    </tableColumn>
  </tableColumns>
  <tableStyleInfo name="TableStyleLight2" showFirstColumn="0" showLastColumn="0" showRowStripes="1" showColumnStripes="0"/>
</table>
</file>

<file path=xl/tables/table28.xml><?xml version="1.0" encoding="utf-8"?>
<table xmlns="http://schemas.openxmlformats.org/spreadsheetml/2006/main" id="4" name="Food" displayName="Food" ref="B44:E48" totalsRowCount="1" headerRowDxfId="1835" dataDxfId="1834" totalsRowDxfId="1832" tableBorderDxfId="1833">
  <autoFilter ref="B44:E47"/>
  <tableColumns count="4">
    <tableColumn id="1" name="Comida" totalsRowLabel="Total" dataDxfId="1831" totalsRowDxfId="1830"/>
    <tableColumn id="2" name="Costo Presupuestado" totalsRowFunction="sum" dataDxfId="1829" totalsRowDxfId="1828"/>
    <tableColumn id="3" name="Costo Real" totalsRowFunction="sum" dataDxfId="1827" totalsRowDxfId="1826"/>
    <tableColumn id="4" name="Diferencia" totalsRowFunction="sum" dataDxfId="1825" totalsRowDxfId="1824">
      <calculatedColumnFormula>Food[Costo Presupuestado]-Food[Costo Real]</calculatedColumnFormula>
    </tableColumn>
  </tableColumns>
  <tableStyleInfo name="TableStyleLight2" showFirstColumn="0" showLastColumn="0" showRowStripes="1" showColumnStripes="0"/>
</table>
</file>

<file path=xl/tables/table29.xml><?xml version="1.0" encoding="utf-8"?>
<table xmlns="http://schemas.openxmlformats.org/spreadsheetml/2006/main" id="5" name="Children" displayName="Children" ref="B50:E60" totalsRowCount="1" headerRowDxfId="1823" dataDxfId="1822" totalsRowDxfId="1820" tableBorderDxfId="1821">
  <autoFilter ref="B50:E59"/>
  <tableColumns count="4">
    <tableColumn id="1" name="Niños" totalsRowLabel="Total" dataDxfId="1819" totalsRowDxfId="1818"/>
    <tableColumn id="2" name="Costo Presupuestado" totalsRowFunction="sum" dataDxfId="1817" totalsRowDxfId="1816"/>
    <tableColumn id="3" name="Costo Real" totalsRowFunction="sum" dataDxfId="1815" totalsRowDxfId="1814"/>
    <tableColumn id="4" name="Diferencia" totalsRowFunction="sum" dataDxfId="1813" totalsRowDxfId="1812">
      <calculatedColumnFormula>Children[Costo Presupuestado]-Children[Costo Real]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id="135" name="Insurance16136" displayName="Insurance16136" ref="B37:E42" totalsRowCount="1" headerRowDxfId="263" dataDxfId="262" totalsRowDxfId="261" tableBorderDxfId="260">
  <autoFilter ref="B37:E41"/>
  <tableColumns count="4">
    <tableColumn id="1" name="Seguros" totalsRowLabel="Total" dataDxfId="258" totalsRowDxfId="259"/>
    <tableColumn id="2" name="Costo Presupuestado" totalsRowFunction="sum" dataDxfId="256" totalsRowDxfId="257"/>
    <tableColumn id="3" name="Costo Real" totalsRowFunction="sum" dataDxfId="254" totalsRowDxfId="255"/>
    <tableColumn id="4" name="Diferencia" totalsRowFunction="sum" dataDxfId="252" totalsRowDxfId="253">
      <calculatedColumnFormula>Insurance16136[Costo Presupuestado]-Insurance16136[Costo Real]</calculatedColumnFormula>
    </tableColumn>
  </tableColumns>
  <tableStyleInfo name="TableStyleLight2" showFirstColumn="0" showLastColumn="0" showRowStripes="1" showColumnStripes="0"/>
</table>
</file>

<file path=xl/tables/table30.xml><?xml version="1.0" encoding="utf-8"?>
<table xmlns="http://schemas.openxmlformats.org/spreadsheetml/2006/main" id="6" name="Pets" displayName="Pets" ref="G36:J42" totalsRowCount="1" headerRowDxfId="1811" dataDxfId="1810" totalsRowDxfId="1808" tableBorderDxfId="1809">
  <autoFilter ref="G36:J41"/>
  <tableColumns count="4">
    <tableColumn id="1" name="Mascotas" totalsRowLabel="Total" dataDxfId="1807" totalsRowDxfId="1806"/>
    <tableColumn id="2" name="Costo Presupuestado" totalsRowFunction="sum" dataDxfId="1805" totalsRowDxfId="1804"/>
    <tableColumn id="3" name="Costo Real" totalsRowFunction="sum" dataDxfId="1803" totalsRowDxfId="1802"/>
    <tableColumn id="4" name="Diferencia" totalsRowFunction="sum" dataDxfId="1801" totalsRowDxfId="1800">
      <calculatedColumnFormula>Pets[Costo Presupuestado]-Pets[Costo Real]</calculatedColumnFormula>
    </tableColumn>
  </tableColumns>
  <tableStyleInfo name="TableStyleLight2" showFirstColumn="0" showLastColumn="0" showRowStripes="1" showColumnStripes="0"/>
</table>
</file>

<file path=xl/tables/table31.xml><?xml version="1.0" encoding="utf-8"?>
<table xmlns="http://schemas.openxmlformats.org/spreadsheetml/2006/main" id="7" name="PersonalCare" displayName="PersonalCare" ref="G44:J51" totalsRowCount="1" headerRowDxfId="1799" dataDxfId="1798" totalsRowDxfId="1796" tableBorderDxfId="1797">
  <autoFilter ref="G44:J50"/>
  <tableColumns count="4">
    <tableColumn id="1" name="Cuidado Personal" totalsRowLabel="Total" dataDxfId="1795" totalsRowDxfId="1794"/>
    <tableColumn id="2" name="Costo Presupuestado" totalsRowFunction="sum" dataDxfId="1793" totalsRowDxfId="1792"/>
    <tableColumn id="3" name="Costo Real" totalsRowFunction="sum" dataDxfId="1791" totalsRowDxfId="1790"/>
    <tableColumn id="4" name="Diferencia" totalsRowFunction="sum" dataDxfId="1789" totalsRowDxfId="1788">
      <calculatedColumnFormula>PersonalCare[Costo Presupuestado]-PersonalCare[Costo Real]</calculatedColumnFormula>
    </tableColumn>
  </tableColumns>
  <tableStyleInfo name="TableStyleLight2" showFirstColumn="0" showLastColumn="0" showRowStripes="1" showColumnStripes="0"/>
</table>
</file>

<file path=xl/tables/table32.xml><?xml version="1.0" encoding="utf-8"?>
<table xmlns="http://schemas.openxmlformats.org/spreadsheetml/2006/main" id="8" name="Entertainment" displayName="Entertainment" ref="G20:J28" totalsRowCount="1" headerRowDxfId="1787" dataDxfId="1786" totalsRowDxfId="1784" tableBorderDxfId="1785">
  <autoFilter ref="G20:J27"/>
  <tableColumns count="4">
    <tableColumn id="1" name="Entretenimiento" totalsRowLabel="Total" dataDxfId="1783" totalsRowDxfId="1782"/>
    <tableColumn id="2" name="Costo Presupuestado" totalsRowFunction="sum" dataDxfId="1781" totalsRowDxfId="1780"/>
    <tableColumn id="3" name="Costo Real" totalsRowFunction="sum" dataDxfId="1779" totalsRowDxfId="1778"/>
    <tableColumn id="4" name="Diferencia" totalsRowFunction="sum" dataDxfId="1777" totalsRowDxfId="1776">
      <calculatedColumnFormula>Entertainment[Costo Presupuestado]-Entertainment[Costo Real]</calculatedColumnFormula>
    </tableColumn>
  </tableColumns>
  <tableStyleInfo name="TableStyleLight2" showFirstColumn="0" showLastColumn="0" showRowStripes="1" showColumnStripes="0"/>
</table>
</file>

<file path=xl/tables/table33.xml><?xml version="1.0" encoding="utf-8"?>
<table xmlns="http://schemas.openxmlformats.org/spreadsheetml/2006/main" id="9" name="Loans" displayName="Loans" ref="G53:J60" totalsRowCount="1" headerRowDxfId="1775" dataDxfId="1774" totalsRowDxfId="1772" tableBorderDxfId="1773">
  <autoFilter ref="G53:J59"/>
  <tableColumns count="4">
    <tableColumn id="1" name="Gastos Financieros/ Prestamos" totalsRowLabel="Total" dataDxfId="1771" totalsRowDxfId="1770"/>
    <tableColumn id="2" name="Costo Presupuestado" totalsRowFunction="sum" dataDxfId="1769" totalsRowDxfId="1768"/>
    <tableColumn id="3" name="Costo Real" totalsRowFunction="sum" dataDxfId="1767" totalsRowDxfId="1766"/>
    <tableColumn id="4" name="Diferencia" totalsRowFunction="sum" dataDxfId="1765" totalsRowDxfId="1764">
      <calculatedColumnFormula>Loans[Costo Presupuestado]-Loans[Costo Real]</calculatedColumnFormula>
    </tableColumn>
  </tableColumns>
  <tableStyleInfo name="TableStyleLight2" showFirstColumn="0" showLastColumn="0" showRowStripes="1" showColumnStripes="0"/>
</table>
</file>

<file path=xl/tables/table34.xml><?xml version="1.0" encoding="utf-8"?>
<table xmlns="http://schemas.openxmlformats.org/spreadsheetml/2006/main" id="11" name="Savings" displayName="Savings" ref="B6:E12" totalsRowCount="1" headerRowDxfId="1763" dataDxfId="1762" totalsRowDxfId="1760" tableBorderDxfId="1761">
  <autoFilter ref="B6:E11"/>
  <tableColumns count="4">
    <tableColumn id="1" name="Ahorro/ Inversiones" totalsRowLabel="Total" dataDxfId="1759" totalsRowDxfId="1758"/>
    <tableColumn id="2" name="Costo Presupuestado" totalsRowFunction="sum" dataDxfId="1757" totalsRowDxfId="1756"/>
    <tableColumn id="3" name="Costo Real" totalsRowFunction="sum" dataDxfId="1755" totalsRowDxfId="1754"/>
    <tableColumn id="4" name="Diferencia" totalsRowFunction="sum" dataDxfId="1753" totalsRowDxfId="1752">
      <calculatedColumnFormula>Savings[Costo Presupuestado]-Savings[Costo Real]</calculatedColumnFormula>
    </tableColumn>
  </tableColumns>
  <tableStyleInfo name="TableStyleLight2" showFirstColumn="0" showLastColumn="0" showRowStripes="1" showColumnStripes="0"/>
</table>
</file>

<file path=xl/tables/table35.xml><?xml version="1.0" encoding="utf-8"?>
<table xmlns="http://schemas.openxmlformats.org/spreadsheetml/2006/main" id="12" name="Gifts" displayName="Gifts" ref="G30:J34" totalsRowCount="1" headerRowDxfId="1751" dataDxfId="1750" totalsRowDxfId="1748" tableBorderDxfId="1749">
  <autoFilter ref="G30:J33"/>
  <tableColumns count="4">
    <tableColumn id="1" name="Regalos y Donaciones" totalsRowLabel="Total" dataDxfId="1747" totalsRowDxfId="1746"/>
    <tableColumn id="2" name="Costo Presupuestado" totalsRowFunction="sum" dataDxfId="1745" totalsRowDxfId="1744"/>
    <tableColumn id="3" name="Costo Real" totalsRowFunction="sum" dataDxfId="1743" totalsRowDxfId="1742"/>
    <tableColumn id="4" name="Diferencia" totalsRowFunction="sum" dataDxfId="1741" totalsRowDxfId="1740">
      <calculatedColumnFormula>Gifts[Costo Presupuestado]-Gifts[Costo Real]</calculatedColumnFormula>
    </tableColumn>
  </tableColumns>
  <tableStyleInfo name="TableStyleLight2" showFirstColumn="0" showLastColumn="0" showRowStripes="1" showColumnStripes="0"/>
</table>
</file>

<file path=xl/tables/table36.xml><?xml version="1.0" encoding="utf-8"?>
<table xmlns="http://schemas.openxmlformats.org/spreadsheetml/2006/main" id="13" name="Legal" displayName="Legal" ref="G62:J66" totalsRowCount="1" headerRowDxfId="1739" dataDxfId="1738" totalsRowDxfId="1736" tableBorderDxfId="1737">
  <autoFilter ref="G62:J65"/>
  <tableColumns count="4">
    <tableColumn id="1" name="Gastos Legales" totalsRowLabel="Total" dataDxfId="1735" totalsRowDxfId="1734"/>
    <tableColumn id="2" name="Costo Presupuestado" totalsRowFunction="sum" dataDxfId="1733" totalsRowDxfId="1732"/>
    <tableColumn id="3" name="Costo Real" totalsRowFunction="sum" dataDxfId="1731" totalsRowDxfId="1730"/>
    <tableColumn id="4" name="Diferencia" totalsRowFunction="sum" dataDxfId="1729" totalsRowDxfId="1728">
      <calculatedColumnFormula>Legal[Costo Presupuestado]-Legal[Costo Real]</calculatedColumnFormula>
    </tableColumn>
  </tableColumns>
  <tableStyleInfo name="TableStyleLight2" showFirstColumn="0" showLastColumn="0" showRowStripes="1" showColumnStripes="0"/>
</table>
</file>

<file path=xl/tables/table37.xml><?xml version="1.0" encoding="utf-8"?>
<table xmlns="http://schemas.openxmlformats.org/spreadsheetml/2006/main" id="25" name="Housing1126" displayName="Housing1126" ref="B14:E25" totalsRowCount="1" headerRowDxfId="1583" dataDxfId="1582" totalsRowDxfId="1581" tableBorderDxfId="1580">
  <autoFilter ref="B14:E24"/>
  <tableColumns count="4">
    <tableColumn id="1" name="Vivienda" totalsRowLabel="Total" dataDxfId="1578" totalsRowDxfId="1579"/>
    <tableColumn id="2" name="Costo Presupuestado" totalsRowFunction="sum" dataDxfId="1576" totalsRowDxfId="1577"/>
    <tableColumn id="3" name="Costo Real" totalsRowFunction="sum" dataDxfId="1574" totalsRowDxfId="1575"/>
    <tableColumn id="4" name="Diferencia" totalsRowFunction="sum" dataDxfId="1572" totalsRowDxfId="1573">
      <calculatedColumnFormula>Housing1126[Costo Presupuestado]-Housing1126[Costo Real]</calculatedColumnFormula>
    </tableColumn>
  </tableColumns>
  <tableStyleInfo name="TableStyleLight2" showFirstColumn="0" showLastColumn="0" showRowStripes="1" showColumnStripes="0"/>
</table>
</file>

<file path=xl/tables/table38.xml><?xml version="1.0" encoding="utf-8"?>
<table xmlns="http://schemas.openxmlformats.org/spreadsheetml/2006/main" id="26" name="Transportation1527" displayName="Transportation1527" ref="B27:E35" totalsRowCount="1" headerRowDxfId="1571" dataDxfId="1570" totalsRowDxfId="1569" tableBorderDxfId="1568">
  <autoFilter ref="B27:E34"/>
  <tableColumns count="4">
    <tableColumn id="1" name="Transporte" totalsRowLabel="Total" dataDxfId="1566" totalsRowDxfId="1567"/>
    <tableColumn id="2" name="Costo Presupuestado" totalsRowFunction="sum" dataDxfId="1564" totalsRowDxfId="1565"/>
    <tableColumn id="3" name="Costo Real" totalsRowFunction="sum" dataDxfId="1562" totalsRowDxfId="1563"/>
    <tableColumn id="4" name="Diferencia" totalsRowFunction="sum" dataDxfId="1560" totalsRowDxfId="1561">
      <calculatedColumnFormula>Transportation1527[Costo Presupuestado]-Transportation1527[Costo Real]</calculatedColumnFormula>
    </tableColumn>
  </tableColumns>
  <tableStyleInfo name="TableStyleLight2" showFirstColumn="0" showLastColumn="0" showRowStripes="1" showColumnStripes="0"/>
</table>
</file>

<file path=xl/tables/table39.xml><?xml version="1.0" encoding="utf-8"?>
<table xmlns="http://schemas.openxmlformats.org/spreadsheetml/2006/main" id="27" name="Insurance1628" displayName="Insurance1628" ref="B37:E42" totalsRowCount="1" headerRowDxfId="1559" dataDxfId="1558" totalsRowDxfId="1557" tableBorderDxfId="1556">
  <autoFilter ref="B37:E41"/>
  <tableColumns count="4">
    <tableColumn id="1" name="Seguros" totalsRowLabel="Total" dataDxfId="1554" totalsRowDxfId="1555"/>
    <tableColumn id="2" name="Costo Presupuestado" totalsRowFunction="sum" dataDxfId="1552" totalsRowDxfId="1553"/>
    <tableColumn id="3" name="Costo Real" totalsRowFunction="sum" dataDxfId="1550" totalsRowDxfId="1551"/>
    <tableColumn id="4" name="Diferencia" totalsRowFunction="sum" dataDxfId="1548" totalsRowDxfId="1549">
      <calculatedColumnFormula>Insurance1628[Costo Presupuestado]-Insurance1628[Costo Real]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id="136" name="Food17137" displayName="Food17137" ref="B44:E48" totalsRowCount="1" headerRowDxfId="251" dataDxfId="250" totalsRowDxfId="249" tableBorderDxfId="248">
  <autoFilter ref="B44:E47"/>
  <tableColumns count="4">
    <tableColumn id="1" name="Comida" totalsRowLabel="Total" dataDxfId="246" totalsRowDxfId="247"/>
    <tableColumn id="2" name="Costo Presupuestado" totalsRowFunction="sum" dataDxfId="244" totalsRowDxfId="245"/>
    <tableColumn id="3" name="Costo Real" totalsRowFunction="sum" dataDxfId="242" totalsRowDxfId="243"/>
    <tableColumn id="4" name="Diferencia" totalsRowFunction="sum" dataDxfId="240" totalsRowDxfId="241">
      <calculatedColumnFormula>Food17137[Costo Presupuestado]-Food17137[Costo Real]</calculatedColumnFormula>
    </tableColumn>
  </tableColumns>
  <tableStyleInfo name="TableStyleLight2" showFirstColumn="0" showLastColumn="0" showRowStripes="1" showColumnStripes="0"/>
</table>
</file>

<file path=xl/tables/table40.xml><?xml version="1.0" encoding="utf-8"?>
<table xmlns="http://schemas.openxmlformats.org/spreadsheetml/2006/main" id="28" name="Food1729" displayName="Food1729" ref="B44:E48" totalsRowCount="1" headerRowDxfId="1547" dataDxfId="1546" totalsRowDxfId="1545" tableBorderDxfId="1544">
  <autoFilter ref="B44:E47"/>
  <tableColumns count="4">
    <tableColumn id="1" name="Comida" totalsRowLabel="Total" dataDxfId="1542" totalsRowDxfId="1543"/>
    <tableColumn id="2" name="Costo Presupuestado" totalsRowFunction="sum" dataDxfId="1540" totalsRowDxfId="1541"/>
    <tableColumn id="3" name="Costo Real" totalsRowFunction="sum" dataDxfId="1538" totalsRowDxfId="1539"/>
    <tableColumn id="4" name="Diferencia" totalsRowFunction="sum" dataDxfId="1536" totalsRowDxfId="1537">
      <calculatedColumnFormula>Food1729[Costo Presupuestado]-Food1729[Costo Real]</calculatedColumnFormula>
    </tableColumn>
  </tableColumns>
  <tableStyleInfo name="TableStyleLight2" showFirstColumn="0" showLastColumn="0" showRowStripes="1" showColumnStripes="0"/>
</table>
</file>

<file path=xl/tables/table41.xml><?xml version="1.0" encoding="utf-8"?>
<table xmlns="http://schemas.openxmlformats.org/spreadsheetml/2006/main" id="29" name="Children1830" displayName="Children1830" ref="B50:E60" totalsRowCount="1" headerRowDxfId="1535" dataDxfId="1534" totalsRowDxfId="1533" tableBorderDxfId="1532">
  <autoFilter ref="B50:E59"/>
  <tableColumns count="4">
    <tableColumn id="1" name="Niños" totalsRowLabel="Total" dataDxfId="1530" totalsRowDxfId="1531"/>
    <tableColumn id="2" name="Costo Presupuestado" totalsRowFunction="sum" dataDxfId="1528" totalsRowDxfId="1529"/>
    <tableColumn id="3" name="Costo Real" totalsRowFunction="sum" dataDxfId="1526" totalsRowDxfId="1527"/>
    <tableColumn id="4" name="Diferencia" totalsRowFunction="sum" dataDxfId="1524" totalsRowDxfId="1525">
      <calculatedColumnFormula>Children1830[Costo Presupuestado]-Children1830[Costo Real]</calculatedColumnFormula>
    </tableColumn>
  </tableColumns>
  <tableStyleInfo name="TableStyleLight2" showFirstColumn="0" showLastColumn="0" showRowStripes="1" showColumnStripes="0"/>
</table>
</file>

<file path=xl/tables/table42.xml><?xml version="1.0" encoding="utf-8"?>
<table xmlns="http://schemas.openxmlformats.org/spreadsheetml/2006/main" id="30" name="Pets1931" displayName="Pets1931" ref="G36:J42" totalsRowCount="1" headerRowDxfId="1523" dataDxfId="1522" totalsRowDxfId="1521" tableBorderDxfId="1520">
  <autoFilter ref="G36:J41"/>
  <tableColumns count="4">
    <tableColumn id="1" name="Mascotas" totalsRowLabel="Total" dataDxfId="1518" totalsRowDxfId="1519"/>
    <tableColumn id="2" name="Costo Presupuestado" totalsRowFunction="sum" dataDxfId="1516" totalsRowDxfId="1517"/>
    <tableColumn id="3" name="Costo Real" totalsRowFunction="sum" dataDxfId="1514" totalsRowDxfId="1515"/>
    <tableColumn id="4" name="Diferencia" totalsRowFunction="sum" dataDxfId="1512" totalsRowDxfId="1513">
      <calculatedColumnFormula>Pets1931[Costo Presupuestado]-Pets1931[Costo Real]</calculatedColumnFormula>
    </tableColumn>
  </tableColumns>
  <tableStyleInfo name="TableStyleLight2" showFirstColumn="0" showLastColumn="0" showRowStripes="1" showColumnStripes="0"/>
</table>
</file>

<file path=xl/tables/table43.xml><?xml version="1.0" encoding="utf-8"?>
<table xmlns="http://schemas.openxmlformats.org/spreadsheetml/2006/main" id="31" name="PersonalCare2032" displayName="PersonalCare2032" ref="G44:J51" totalsRowCount="1" headerRowDxfId="1511" dataDxfId="1510" totalsRowDxfId="1509" tableBorderDxfId="1508">
  <autoFilter ref="G44:J50"/>
  <tableColumns count="4">
    <tableColumn id="1" name="Cuidado Personal" totalsRowLabel="Total" dataDxfId="1506" totalsRowDxfId="1507"/>
    <tableColumn id="2" name="Costo Presupuestado" totalsRowFunction="sum" dataDxfId="1504" totalsRowDxfId="1505"/>
    <tableColumn id="3" name="Costo Real" totalsRowFunction="sum" dataDxfId="1502" totalsRowDxfId="1503"/>
    <tableColumn id="4" name="Diferencia" totalsRowFunction="sum" dataDxfId="1500" totalsRowDxfId="1501">
      <calculatedColumnFormula>PersonalCare2032[Costo Presupuestado]-PersonalCare2032[Costo Real]</calculatedColumnFormula>
    </tableColumn>
  </tableColumns>
  <tableStyleInfo name="TableStyleLight2" showFirstColumn="0" showLastColumn="0" showRowStripes="1" showColumnStripes="0"/>
</table>
</file>

<file path=xl/tables/table44.xml><?xml version="1.0" encoding="utf-8"?>
<table xmlns="http://schemas.openxmlformats.org/spreadsheetml/2006/main" id="32" name="Entertainment2133" displayName="Entertainment2133" ref="G20:J28" totalsRowCount="1" headerRowDxfId="1499" dataDxfId="1498" totalsRowDxfId="1497" tableBorderDxfId="1496">
  <autoFilter ref="G20:J27"/>
  <tableColumns count="4">
    <tableColumn id="1" name="Entretenimiento" totalsRowLabel="Total" dataDxfId="1494" totalsRowDxfId="1495"/>
    <tableColumn id="2" name="Costo Presupuestado" totalsRowFunction="sum" dataDxfId="1492" totalsRowDxfId="1493"/>
    <tableColumn id="3" name="Costo Real" totalsRowFunction="sum" dataDxfId="1490" totalsRowDxfId="1491"/>
    <tableColumn id="4" name="Diferencia" totalsRowFunction="sum" dataDxfId="1488" totalsRowDxfId="1489">
      <calculatedColumnFormula>Entertainment2133[Costo Presupuestado]-Entertainment2133[Costo Real]</calculatedColumnFormula>
    </tableColumn>
  </tableColumns>
  <tableStyleInfo name="TableStyleLight2" showFirstColumn="0" showLastColumn="0" showRowStripes="1" showColumnStripes="0"/>
</table>
</file>

<file path=xl/tables/table45.xml><?xml version="1.0" encoding="utf-8"?>
<table xmlns="http://schemas.openxmlformats.org/spreadsheetml/2006/main" id="33" name="Loans2234" displayName="Loans2234" ref="G53:J60" totalsRowCount="1" headerRowDxfId="1487" dataDxfId="1486" totalsRowDxfId="1485" tableBorderDxfId="1484">
  <autoFilter ref="G53:J59"/>
  <tableColumns count="4">
    <tableColumn id="1" name="Gastos Financieros/ Prestamos" totalsRowLabel="Total" dataDxfId="1482" totalsRowDxfId="1483"/>
    <tableColumn id="2" name="Costo Presupuestado" totalsRowFunction="sum" dataDxfId="1480" totalsRowDxfId="1481"/>
    <tableColumn id="3" name="Costo Real" totalsRowFunction="sum" dataDxfId="1478" totalsRowDxfId="1479"/>
    <tableColumn id="4" name="Diferencia" totalsRowFunction="sum" dataDxfId="1476" totalsRowDxfId="1477">
      <calculatedColumnFormula>Loans2234[Costo Presupuestado]-Loans2234[Costo Real]</calculatedColumnFormula>
    </tableColumn>
  </tableColumns>
  <tableStyleInfo name="TableStyleLight2" showFirstColumn="0" showLastColumn="0" showRowStripes="1" showColumnStripes="0"/>
</table>
</file>

<file path=xl/tables/table46.xml><?xml version="1.0" encoding="utf-8"?>
<table xmlns="http://schemas.openxmlformats.org/spreadsheetml/2006/main" id="34" name="Savings2335" displayName="Savings2335" ref="B6:E12" totalsRowCount="1" headerRowDxfId="1475" dataDxfId="1474" totalsRowDxfId="1473" tableBorderDxfId="1472">
  <autoFilter ref="B6:E11"/>
  <tableColumns count="4">
    <tableColumn id="1" name="Ahorro/ Inversiones" totalsRowLabel="Total" dataDxfId="1470" totalsRowDxfId="1471"/>
    <tableColumn id="2" name="Costo Presupuestado" totalsRowFunction="sum" dataDxfId="1468" totalsRowDxfId="1469"/>
    <tableColumn id="3" name="Costo Real" totalsRowFunction="sum" dataDxfId="1466" totalsRowDxfId="1467"/>
    <tableColumn id="4" name="Diferencia" totalsRowFunction="sum" dataDxfId="1464" totalsRowDxfId="1465">
      <calculatedColumnFormula>Savings2335[Costo Presupuestado]-Savings2335[Costo Real]</calculatedColumnFormula>
    </tableColumn>
  </tableColumns>
  <tableStyleInfo name="TableStyleLight2" showFirstColumn="0" showLastColumn="0" showRowStripes="1" showColumnStripes="0"/>
</table>
</file>

<file path=xl/tables/table47.xml><?xml version="1.0" encoding="utf-8"?>
<table xmlns="http://schemas.openxmlformats.org/spreadsheetml/2006/main" id="35" name="Gifts2436" displayName="Gifts2436" ref="G30:J34" totalsRowCount="1" headerRowDxfId="1463" dataDxfId="1462" totalsRowDxfId="1461" tableBorderDxfId="1460">
  <autoFilter ref="G30:J33"/>
  <tableColumns count="4">
    <tableColumn id="1" name="Regalos y Donaciones" totalsRowLabel="Total" dataDxfId="1458" totalsRowDxfId="1459"/>
    <tableColumn id="2" name="Costo Presupuestado" totalsRowFunction="sum" dataDxfId="1456" totalsRowDxfId="1457"/>
    <tableColumn id="3" name="Costo Real" totalsRowFunction="sum" dataDxfId="1454" totalsRowDxfId="1455"/>
    <tableColumn id="4" name="Diferencia" totalsRowFunction="sum" dataDxfId="1452" totalsRowDxfId="1453">
      <calculatedColumnFormula>Gifts2436[Costo Presupuestado]-Gifts2436[Costo Real]</calculatedColumnFormula>
    </tableColumn>
  </tableColumns>
  <tableStyleInfo name="TableStyleLight2" showFirstColumn="0" showLastColumn="0" showRowStripes="1" showColumnStripes="0"/>
</table>
</file>

<file path=xl/tables/table48.xml><?xml version="1.0" encoding="utf-8"?>
<table xmlns="http://schemas.openxmlformats.org/spreadsheetml/2006/main" id="36" name="Legal2537" displayName="Legal2537" ref="G62:J66" totalsRowCount="1" headerRowDxfId="1451" dataDxfId="1450" totalsRowDxfId="1449" tableBorderDxfId="1448">
  <autoFilter ref="G62:J65"/>
  <tableColumns count="4">
    <tableColumn id="1" name="Gastos Legales" totalsRowLabel="Total" dataDxfId="1446" totalsRowDxfId="1447"/>
    <tableColumn id="2" name="Costo Presupuestado" totalsRowFunction="sum" dataDxfId="1444" totalsRowDxfId="1445"/>
    <tableColumn id="3" name="Costo Real" totalsRowFunction="sum" dataDxfId="1442" totalsRowDxfId="1443"/>
    <tableColumn id="4" name="Diferencia" totalsRowFunction="sum" dataDxfId="1440" totalsRowDxfId="1441">
      <calculatedColumnFormula>Legal2537[Costo Presupuestado]-Legal2537[Costo Real]</calculatedColumnFormula>
    </tableColumn>
  </tableColumns>
  <tableStyleInfo name="TableStyleLight2" showFirstColumn="0" showLastColumn="0" showRowStripes="1" showColumnStripes="0"/>
</table>
</file>

<file path=xl/tables/table49.xml><?xml version="1.0" encoding="utf-8"?>
<table xmlns="http://schemas.openxmlformats.org/spreadsheetml/2006/main" id="37" name="Housing112638" displayName="Housing112638" ref="B14:E25" totalsRowCount="1" headerRowDxfId="1439" dataDxfId="1438" totalsRowDxfId="1437" tableBorderDxfId="1436">
  <autoFilter ref="B14:E24"/>
  <tableColumns count="4">
    <tableColumn id="1" name="Vivienda" totalsRowLabel="Total" dataDxfId="1434" totalsRowDxfId="1435"/>
    <tableColumn id="2" name="Costo Presupuestado" totalsRowFunction="sum" dataDxfId="1432" totalsRowDxfId="1433"/>
    <tableColumn id="3" name="Costo Real" totalsRowFunction="sum" dataDxfId="1430" totalsRowDxfId="1431"/>
    <tableColumn id="4" name="Diferencia" totalsRowFunction="sum" dataDxfId="1428" totalsRowDxfId="1429">
      <calculatedColumnFormula>Housing112638[Costo Presupuestado]-Housing112638[Costo Real]</calculatedColumnFormula>
    </tableColumn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id="137" name="Children18138" displayName="Children18138" ref="B50:E60" totalsRowCount="1" headerRowDxfId="239" dataDxfId="238" totalsRowDxfId="237" tableBorderDxfId="236">
  <autoFilter ref="B50:E59"/>
  <tableColumns count="4">
    <tableColumn id="1" name="Niños" totalsRowLabel="Total" dataDxfId="234" totalsRowDxfId="235"/>
    <tableColumn id="2" name="Costo Presupuestado" totalsRowFunction="sum" dataDxfId="232" totalsRowDxfId="233"/>
    <tableColumn id="3" name="Costo Real" totalsRowFunction="sum" dataDxfId="230" totalsRowDxfId="231"/>
    <tableColumn id="4" name="Diferencia" totalsRowFunction="sum" dataDxfId="228" totalsRowDxfId="229">
      <calculatedColumnFormula>Children18138[Costo Presupuestado]-Children18138[Costo Real]</calculatedColumnFormula>
    </tableColumn>
  </tableColumns>
  <tableStyleInfo name="TableStyleLight2" showFirstColumn="0" showLastColumn="0" showRowStripes="1" showColumnStripes="0"/>
</table>
</file>

<file path=xl/tables/table50.xml><?xml version="1.0" encoding="utf-8"?>
<table xmlns="http://schemas.openxmlformats.org/spreadsheetml/2006/main" id="38" name="Transportation152739" displayName="Transportation152739" ref="B27:E35" totalsRowCount="1" headerRowDxfId="1427" dataDxfId="1426" totalsRowDxfId="1425" tableBorderDxfId="1424">
  <autoFilter ref="B27:E34"/>
  <tableColumns count="4">
    <tableColumn id="1" name="Transporte" totalsRowLabel="Total" dataDxfId="1422" totalsRowDxfId="1423"/>
    <tableColumn id="2" name="Costo Presupuestado" totalsRowFunction="sum" dataDxfId="1420" totalsRowDxfId="1421"/>
    <tableColumn id="3" name="Costo Real" totalsRowFunction="sum" dataDxfId="1418" totalsRowDxfId="1419"/>
    <tableColumn id="4" name="Diferencia" totalsRowFunction="sum" dataDxfId="1416" totalsRowDxfId="1417">
      <calculatedColumnFormula>Transportation152739[Costo Presupuestado]-Transportation152739[Costo Real]</calculatedColumnFormula>
    </tableColumn>
  </tableColumns>
  <tableStyleInfo name="TableStyleLight2" showFirstColumn="0" showLastColumn="0" showRowStripes="1" showColumnStripes="0"/>
</table>
</file>

<file path=xl/tables/table51.xml><?xml version="1.0" encoding="utf-8"?>
<table xmlns="http://schemas.openxmlformats.org/spreadsheetml/2006/main" id="39" name="Insurance162840" displayName="Insurance162840" ref="B37:E42" totalsRowCount="1" headerRowDxfId="1415" dataDxfId="1414" totalsRowDxfId="1413" tableBorderDxfId="1412">
  <autoFilter ref="B37:E41"/>
  <tableColumns count="4">
    <tableColumn id="1" name="Seguros" totalsRowLabel="Total" dataDxfId="1410" totalsRowDxfId="1411"/>
    <tableColumn id="2" name="Costo Presupuestado" totalsRowFunction="sum" dataDxfId="1408" totalsRowDxfId="1409"/>
    <tableColumn id="3" name="Costo Real" totalsRowFunction="sum" dataDxfId="1406" totalsRowDxfId="1407"/>
    <tableColumn id="4" name="Diferencia" totalsRowFunction="sum" dataDxfId="1404" totalsRowDxfId="1405">
      <calculatedColumnFormula>Insurance162840[Costo Presupuestado]-Insurance162840[Costo Real]</calculatedColumnFormula>
    </tableColumn>
  </tableColumns>
  <tableStyleInfo name="TableStyleLight2" showFirstColumn="0" showLastColumn="0" showRowStripes="1" showColumnStripes="0"/>
</table>
</file>

<file path=xl/tables/table52.xml><?xml version="1.0" encoding="utf-8"?>
<table xmlns="http://schemas.openxmlformats.org/spreadsheetml/2006/main" id="40" name="Food172941" displayName="Food172941" ref="B44:E48" totalsRowCount="1" headerRowDxfId="1403" dataDxfId="1402" totalsRowDxfId="1401" tableBorderDxfId="1400">
  <autoFilter ref="B44:E47"/>
  <tableColumns count="4">
    <tableColumn id="1" name="Comida" totalsRowLabel="Total" dataDxfId="1398" totalsRowDxfId="1399"/>
    <tableColumn id="2" name="Costo Presupuestado" totalsRowFunction="sum" dataDxfId="1396" totalsRowDxfId="1397"/>
    <tableColumn id="3" name="Costo Real" totalsRowFunction="sum" dataDxfId="1394" totalsRowDxfId="1395"/>
    <tableColumn id="4" name="Diferencia" totalsRowFunction="sum" dataDxfId="1392" totalsRowDxfId="1393">
      <calculatedColumnFormula>Food172941[Costo Presupuestado]-Food172941[Costo Real]</calculatedColumnFormula>
    </tableColumn>
  </tableColumns>
  <tableStyleInfo name="TableStyleLight2" showFirstColumn="0" showLastColumn="0" showRowStripes="1" showColumnStripes="0"/>
</table>
</file>

<file path=xl/tables/table53.xml><?xml version="1.0" encoding="utf-8"?>
<table xmlns="http://schemas.openxmlformats.org/spreadsheetml/2006/main" id="41" name="Children183042" displayName="Children183042" ref="B50:E60" totalsRowCount="1" headerRowDxfId="1391" dataDxfId="1390" totalsRowDxfId="1389" tableBorderDxfId="1388">
  <autoFilter ref="B50:E59"/>
  <tableColumns count="4">
    <tableColumn id="1" name="Niños" totalsRowLabel="Total" dataDxfId="1386" totalsRowDxfId="1387"/>
    <tableColumn id="2" name="Costo Presupuestado" totalsRowFunction="sum" dataDxfId="1384" totalsRowDxfId="1385"/>
    <tableColumn id="3" name="Costo Real" totalsRowFunction="sum" dataDxfId="1382" totalsRowDxfId="1383"/>
    <tableColumn id="4" name="Diferencia" totalsRowFunction="sum" dataDxfId="1380" totalsRowDxfId="1381">
      <calculatedColumnFormula>Children183042[Costo Presupuestado]-Children183042[Costo Real]</calculatedColumnFormula>
    </tableColumn>
  </tableColumns>
  <tableStyleInfo name="TableStyleLight2" showFirstColumn="0" showLastColumn="0" showRowStripes="1" showColumnStripes="0"/>
</table>
</file>

<file path=xl/tables/table54.xml><?xml version="1.0" encoding="utf-8"?>
<table xmlns="http://schemas.openxmlformats.org/spreadsheetml/2006/main" id="42" name="Pets193143" displayName="Pets193143" ref="G36:J42" totalsRowCount="1" headerRowDxfId="1379" dataDxfId="1378" totalsRowDxfId="1377" tableBorderDxfId="1376">
  <autoFilter ref="G36:J41"/>
  <tableColumns count="4">
    <tableColumn id="1" name="Mascotas" totalsRowLabel="Total" dataDxfId="1374" totalsRowDxfId="1375"/>
    <tableColumn id="2" name="Costo Presupuestado" totalsRowFunction="sum" dataDxfId="1372" totalsRowDxfId="1373"/>
    <tableColumn id="3" name="Costo Real" totalsRowFunction="sum" dataDxfId="1370" totalsRowDxfId="1371"/>
    <tableColumn id="4" name="Diferencia" totalsRowFunction="sum" dataDxfId="1368" totalsRowDxfId="1369">
      <calculatedColumnFormula>Pets193143[Costo Presupuestado]-Pets193143[Costo Real]</calculatedColumnFormula>
    </tableColumn>
  </tableColumns>
  <tableStyleInfo name="TableStyleLight2" showFirstColumn="0" showLastColumn="0" showRowStripes="1" showColumnStripes="0"/>
</table>
</file>

<file path=xl/tables/table55.xml><?xml version="1.0" encoding="utf-8"?>
<table xmlns="http://schemas.openxmlformats.org/spreadsheetml/2006/main" id="43" name="PersonalCare203244" displayName="PersonalCare203244" ref="G44:J51" totalsRowCount="1" headerRowDxfId="1367" dataDxfId="1366" totalsRowDxfId="1365" tableBorderDxfId="1364">
  <autoFilter ref="G44:J50"/>
  <tableColumns count="4">
    <tableColumn id="1" name="Cuidado Personal" totalsRowLabel="Total" dataDxfId="1362" totalsRowDxfId="1363"/>
    <tableColumn id="2" name="Costo Presupuestado" totalsRowFunction="sum" dataDxfId="1360" totalsRowDxfId="1361"/>
    <tableColumn id="3" name="Costo Real" totalsRowFunction="sum" dataDxfId="1358" totalsRowDxfId="1359"/>
    <tableColumn id="4" name="Diferencia" totalsRowFunction="sum" dataDxfId="1356" totalsRowDxfId="1357">
      <calculatedColumnFormula>PersonalCare203244[Costo Presupuestado]-PersonalCare203244[Costo Real]</calculatedColumnFormula>
    </tableColumn>
  </tableColumns>
  <tableStyleInfo name="TableStyleLight2" showFirstColumn="0" showLastColumn="0" showRowStripes="1" showColumnStripes="0"/>
</table>
</file>

<file path=xl/tables/table56.xml><?xml version="1.0" encoding="utf-8"?>
<table xmlns="http://schemas.openxmlformats.org/spreadsheetml/2006/main" id="44" name="Entertainment213345" displayName="Entertainment213345" ref="G20:J28" totalsRowCount="1" headerRowDxfId="1355" dataDxfId="1354" totalsRowDxfId="1353" tableBorderDxfId="1352">
  <autoFilter ref="G20:J27"/>
  <tableColumns count="4">
    <tableColumn id="1" name="Entretenimiento" totalsRowLabel="Total" dataDxfId="1350" totalsRowDxfId="1351"/>
    <tableColumn id="2" name="Costo Presupuestado" totalsRowFunction="sum" dataDxfId="1348" totalsRowDxfId="1349"/>
    <tableColumn id="3" name="Costo Real" totalsRowFunction="sum" dataDxfId="1346" totalsRowDxfId="1347"/>
    <tableColumn id="4" name="Diferencia" totalsRowFunction="sum" dataDxfId="1344" totalsRowDxfId="1345">
      <calculatedColumnFormula>Entertainment213345[Costo Presupuestado]-Entertainment213345[Costo Real]</calculatedColumnFormula>
    </tableColumn>
  </tableColumns>
  <tableStyleInfo name="TableStyleLight2" showFirstColumn="0" showLastColumn="0" showRowStripes="1" showColumnStripes="0"/>
</table>
</file>

<file path=xl/tables/table57.xml><?xml version="1.0" encoding="utf-8"?>
<table xmlns="http://schemas.openxmlformats.org/spreadsheetml/2006/main" id="45" name="Loans223446" displayName="Loans223446" ref="G53:J60" totalsRowCount="1" headerRowDxfId="1343" dataDxfId="1342" totalsRowDxfId="1341" tableBorderDxfId="1340">
  <autoFilter ref="G53:J59"/>
  <tableColumns count="4">
    <tableColumn id="1" name="Gastos Financieros/ Prestamos" totalsRowLabel="Total" dataDxfId="1338" totalsRowDxfId="1339"/>
    <tableColumn id="2" name="Costo Presupuestado" totalsRowFunction="sum" dataDxfId="1336" totalsRowDxfId="1337"/>
    <tableColumn id="3" name="Costo Real" totalsRowFunction="sum" dataDxfId="1334" totalsRowDxfId="1335"/>
    <tableColumn id="4" name="Diferencia" totalsRowFunction="sum" dataDxfId="1332" totalsRowDxfId="1333">
      <calculatedColumnFormula>Loans223446[Costo Presupuestado]-Loans223446[Costo Real]</calculatedColumnFormula>
    </tableColumn>
  </tableColumns>
  <tableStyleInfo name="TableStyleLight2" showFirstColumn="0" showLastColumn="0" showRowStripes="1" showColumnStripes="0"/>
</table>
</file>

<file path=xl/tables/table58.xml><?xml version="1.0" encoding="utf-8"?>
<table xmlns="http://schemas.openxmlformats.org/spreadsheetml/2006/main" id="46" name="Savings233547" displayName="Savings233547" ref="B6:E12" totalsRowCount="1" headerRowDxfId="1331" dataDxfId="1330" totalsRowDxfId="1329" tableBorderDxfId="1328">
  <autoFilter ref="B6:E11"/>
  <tableColumns count="4">
    <tableColumn id="1" name="Ahorro/ Inversiones" totalsRowLabel="Total" dataDxfId="1326" totalsRowDxfId="1327"/>
    <tableColumn id="2" name="Costo Presupuestado" totalsRowFunction="sum" dataDxfId="1324" totalsRowDxfId="1325"/>
    <tableColumn id="3" name="Costo Real" totalsRowFunction="sum" dataDxfId="1322" totalsRowDxfId="1323"/>
    <tableColumn id="4" name="Diferencia" totalsRowFunction="sum" dataDxfId="1320" totalsRowDxfId="1321">
      <calculatedColumnFormula>Savings233547[Costo Presupuestado]-Savings233547[Costo Real]</calculatedColumnFormula>
    </tableColumn>
  </tableColumns>
  <tableStyleInfo name="TableStyleLight2" showFirstColumn="0" showLastColumn="0" showRowStripes="1" showColumnStripes="0"/>
</table>
</file>

<file path=xl/tables/table59.xml><?xml version="1.0" encoding="utf-8"?>
<table xmlns="http://schemas.openxmlformats.org/spreadsheetml/2006/main" id="47" name="Gifts243648" displayName="Gifts243648" ref="G30:J34" totalsRowCount="1" headerRowDxfId="1319" dataDxfId="1318" totalsRowDxfId="1317" tableBorderDxfId="1316">
  <autoFilter ref="G30:J33"/>
  <tableColumns count="4">
    <tableColumn id="1" name="Regalos y Donaciones" totalsRowLabel="Total" dataDxfId="1314" totalsRowDxfId="1315"/>
    <tableColumn id="2" name="Costo Presupuestado" totalsRowFunction="sum" dataDxfId="1312" totalsRowDxfId="1313"/>
    <tableColumn id="3" name="Costo Real" totalsRowFunction="sum" dataDxfId="1310" totalsRowDxfId="1311"/>
    <tableColumn id="4" name="Diferencia" totalsRowFunction="sum" dataDxfId="1308" totalsRowDxfId="1309">
      <calculatedColumnFormula>Gifts243648[Costo Presupuestado]-Gifts243648[Costo Real]</calculatedColumnFormula>
    </tableColumn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id="138" name="Pets19139" displayName="Pets19139" ref="G36:J42" totalsRowCount="1" headerRowDxfId="227" dataDxfId="226" totalsRowDxfId="225" tableBorderDxfId="224">
  <autoFilter ref="G36:J41"/>
  <tableColumns count="4">
    <tableColumn id="1" name="Mascotas" totalsRowLabel="Total" dataDxfId="222" totalsRowDxfId="223"/>
    <tableColumn id="2" name="Costo Presupuestado" totalsRowFunction="sum" dataDxfId="220" totalsRowDxfId="221"/>
    <tableColumn id="3" name="Costo Real" totalsRowFunction="sum" dataDxfId="218" totalsRowDxfId="219"/>
    <tableColumn id="4" name="Diferencia" totalsRowFunction="sum" dataDxfId="216" totalsRowDxfId="217">
      <calculatedColumnFormula>Pets19139[Costo Presupuestado]-Pets19139[Costo Real]</calculatedColumnFormula>
    </tableColumn>
  </tableColumns>
  <tableStyleInfo name="TableStyleLight2" showFirstColumn="0" showLastColumn="0" showRowStripes="1" showColumnStripes="0"/>
</table>
</file>

<file path=xl/tables/table60.xml><?xml version="1.0" encoding="utf-8"?>
<table xmlns="http://schemas.openxmlformats.org/spreadsheetml/2006/main" id="48" name="Legal253749" displayName="Legal253749" ref="G62:J66" totalsRowCount="1" headerRowDxfId="1307" dataDxfId="1306" totalsRowDxfId="1305" tableBorderDxfId="1304">
  <autoFilter ref="G62:J65"/>
  <tableColumns count="4">
    <tableColumn id="1" name="Gastos Legales" totalsRowLabel="Total" dataDxfId="1302" totalsRowDxfId="1303"/>
    <tableColumn id="2" name="Costo Presupuestado" totalsRowFunction="sum" dataDxfId="1300" totalsRowDxfId="1301"/>
    <tableColumn id="3" name="Costo Real" totalsRowFunction="sum" dataDxfId="1298" totalsRowDxfId="1299"/>
    <tableColumn id="4" name="Diferencia" totalsRowFunction="sum" dataDxfId="1296" totalsRowDxfId="1297">
      <calculatedColumnFormula>Legal253749[Costo Presupuestado]-Legal253749[Costo Real]</calculatedColumnFormula>
    </tableColumn>
  </tableColumns>
  <tableStyleInfo name="TableStyleLight2" showFirstColumn="0" showLastColumn="0" showRowStripes="1" showColumnStripes="0"/>
</table>
</file>

<file path=xl/tables/table61.xml><?xml version="1.0" encoding="utf-8"?>
<table xmlns="http://schemas.openxmlformats.org/spreadsheetml/2006/main" id="49" name="Housing11263850" displayName="Housing11263850" ref="B14:E25" totalsRowCount="1" headerRowDxfId="1295" dataDxfId="1294" totalsRowDxfId="1293" tableBorderDxfId="1292">
  <autoFilter ref="B14:E24"/>
  <tableColumns count="4">
    <tableColumn id="1" name="Vivienda" totalsRowLabel="Total" dataDxfId="1290" totalsRowDxfId="1291"/>
    <tableColumn id="2" name="Costo Presupuestado" totalsRowFunction="sum" dataDxfId="1288" totalsRowDxfId="1289"/>
    <tableColumn id="3" name="Costo Real" totalsRowFunction="sum" dataDxfId="1286" totalsRowDxfId="1287"/>
    <tableColumn id="4" name="Diferencia" totalsRowFunction="sum" dataDxfId="1284" totalsRowDxfId="1285">
      <calculatedColumnFormula>Housing11263850[Costo Presupuestado]-Housing11263850[Costo Real]</calculatedColumnFormula>
    </tableColumn>
  </tableColumns>
  <tableStyleInfo name="TableStyleLight2" showFirstColumn="0" showLastColumn="0" showRowStripes="1" showColumnStripes="0"/>
</table>
</file>

<file path=xl/tables/table62.xml><?xml version="1.0" encoding="utf-8"?>
<table xmlns="http://schemas.openxmlformats.org/spreadsheetml/2006/main" id="50" name="Transportation15273951" displayName="Transportation15273951" ref="B27:E35" totalsRowCount="1" headerRowDxfId="1283" dataDxfId="1282" totalsRowDxfId="1281" tableBorderDxfId="1280">
  <autoFilter ref="B27:E34"/>
  <tableColumns count="4">
    <tableColumn id="1" name="Transporte" totalsRowLabel="Total" dataDxfId="1278" totalsRowDxfId="1279"/>
    <tableColumn id="2" name="Costo Presupuestado" totalsRowFunction="sum" dataDxfId="1276" totalsRowDxfId="1277"/>
    <tableColumn id="3" name="Costo Real" totalsRowFunction="sum" dataDxfId="1274" totalsRowDxfId="1275"/>
    <tableColumn id="4" name="Diferencia" totalsRowFunction="sum" dataDxfId="1272" totalsRowDxfId="1273">
      <calculatedColumnFormula>Transportation15273951[Costo Presupuestado]-Transportation15273951[Costo Real]</calculatedColumnFormula>
    </tableColumn>
  </tableColumns>
  <tableStyleInfo name="TableStyleLight2" showFirstColumn="0" showLastColumn="0" showRowStripes="1" showColumnStripes="0"/>
</table>
</file>

<file path=xl/tables/table63.xml><?xml version="1.0" encoding="utf-8"?>
<table xmlns="http://schemas.openxmlformats.org/spreadsheetml/2006/main" id="51" name="Insurance16284052" displayName="Insurance16284052" ref="B37:E42" totalsRowCount="1" headerRowDxfId="1271" dataDxfId="1270" totalsRowDxfId="1269" tableBorderDxfId="1268">
  <autoFilter ref="B37:E41"/>
  <tableColumns count="4">
    <tableColumn id="1" name="Seguros" totalsRowLabel="Total" dataDxfId="1266" totalsRowDxfId="1267"/>
    <tableColumn id="2" name="Costo Presupuestado" totalsRowFunction="sum" dataDxfId="1264" totalsRowDxfId="1265"/>
    <tableColumn id="3" name="Costo Real" totalsRowFunction="sum" dataDxfId="1262" totalsRowDxfId="1263"/>
    <tableColumn id="4" name="Diferencia" totalsRowFunction="sum" dataDxfId="1260" totalsRowDxfId="1261">
      <calculatedColumnFormula>Insurance16284052[Costo Presupuestado]-Insurance16284052[Costo Real]</calculatedColumnFormula>
    </tableColumn>
  </tableColumns>
  <tableStyleInfo name="TableStyleLight2" showFirstColumn="0" showLastColumn="0" showRowStripes="1" showColumnStripes="0"/>
</table>
</file>

<file path=xl/tables/table64.xml><?xml version="1.0" encoding="utf-8"?>
<table xmlns="http://schemas.openxmlformats.org/spreadsheetml/2006/main" id="52" name="Food17294153" displayName="Food17294153" ref="B44:E48" totalsRowCount="1" headerRowDxfId="1259" dataDxfId="1258" totalsRowDxfId="1257" tableBorderDxfId="1256">
  <autoFilter ref="B44:E47"/>
  <tableColumns count="4">
    <tableColumn id="1" name="Comida" totalsRowLabel="Total" dataDxfId="1254" totalsRowDxfId="1255"/>
    <tableColumn id="2" name="Costo Presupuestado" totalsRowFunction="sum" dataDxfId="1252" totalsRowDxfId="1253"/>
    <tableColumn id="3" name="Costo Real" totalsRowFunction="sum" dataDxfId="1250" totalsRowDxfId="1251"/>
    <tableColumn id="4" name="Diferencia" totalsRowFunction="sum" dataDxfId="1248" totalsRowDxfId="1249">
      <calculatedColumnFormula>Food17294153[Costo Presupuestado]-Food17294153[Costo Real]</calculatedColumnFormula>
    </tableColumn>
  </tableColumns>
  <tableStyleInfo name="TableStyleLight2" showFirstColumn="0" showLastColumn="0" showRowStripes="1" showColumnStripes="0"/>
</table>
</file>

<file path=xl/tables/table65.xml><?xml version="1.0" encoding="utf-8"?>
<table xmlns="http://schemas.openxmlformats.org/spreadsheetml/2006/main" id="53" name="Children18304254" displayName="Children18304254" ref="B50:E60" totalsRowCount="1" headerRowDxfId="1247" dataDxfId="1246" totalsRowDxfId="1245" tableBorderDxfId="1244">
  <autoFilter ref="B50:E59"/>
  <tableColumns count="4">
    <tableColumn id="1" name="Niños" totalsRowLabel="Total" dataDxfId="1242" totalsRowDxfId="1243"/>
    <tableColumn id="2" name="Costo Presupuestado" totalsRowFunction="sum" dataDxfId="1240" totalsRowDxfId="1241"/>
    <tableColumn id="3" name="Costo Real" totalsRowFunction="sum" dataDxfId="1238" totalsRowDxfId="1239"/>
    <tableColumn id="4" name="Diferencia" totalsRowFunction="sum" dataDxfId="1236" totalsRowDxfId="1237">
      <calculatedColumnFormula>Children18304254[Costo Presupuestado]-Children18304254[Costo Real]</calculatedColumnFormula>
    </tableColumn>
  </tableColumns>
  <tableStyleInfo name="TableStyleLight2" showFirstColumn="0" showLastColumn="0" showRowStripes="1" showColumnStripes="0"/>
</table>
</file>

<file path=xl/tables/table66.xml><?xml version="1.0" encoding="utf-8"?>
<table xmlns="http://schemas.openxmlformats.org/spreadsheetml/2006/main" id="54" name="Pets19314355" displayName="Pets19314355" ref="G36:J42" totalsRowCount="1" headerRowDxfId="1235" dataDxfId="1234" totalsRowDxfId="1233" tableBorderDxfId="1232">
  <autoFilter ref="G36:J41"/>
  <tableColumns count="4">
    <tableColumn id="1" name="Mascotas" totalsRowLabel="Total" dataDxfId="1230" totalsRowDxfId="1231"/>
    <tableColumn id="2" name="Costo Presupuestado" totalsRowFunction="sum" dataDxfId="1228" totalsRowDxfId="1229"/>
    <tableColumn id="3" name="Costo Real" totalsRowFunction="sum" dataDxfId="1226" totalsRowDxfId="1227"/>
    <tableColumn id="4" name="Diferencia" totalsRowFunction="sum" dataDxfId="1224" totalsRowDxfId="1225">
      <calculatedColumnFormula>Pets19314355[Costo Presupuestado]-Pets19314355[Costo Real]</calculatedColumnFormula>
    </tableColumn>
  </tableColumns>
  <tableStyleInfo name="TableStyleLight2" showFirstColumn="0" showLastColumn="0" showRowStripes="1" showColumnStripes="0"/>
</table>
</file>

<file path=xl/tables/table67.xml><?xml version="1.0" encoding="utf-8"?>
<table xmlns="http://schemas.openxmlformats.org/spreadsheetml/2006/main" id="55" name="PersonalCare20324456" displayName="PersonalCare20324456" ref="G44:J51" totalsRowCount="1" headerRowDxfId="1223" dataDxfId="1222" totalsRowDxfId="1221" tableBorderDxfId="1220">
  <autoFilter ref="G44:J50"/>
  <tableColumns count="4">
    <tableColumn id="1" name="Cuidado Personal" totalsRowLabel="Total" dataDxfId="1218" totalsRowDxfId="1219"/>
    <tableColumn id="2" name="Costo Presupuestado" totalsRowFunction="sum" dataDxfId="1216" totalsRowDxfId="1217"/>
    <tableColumn id="3" name="Costo Real" totalsRowFunction="sum" dataDxfId="1214" totalsRowDxfId="1215"/>
    <tableColumn id="4" name="Diferencia" totalsRowFunction="sum" dataDxfId="1212" totalsRowDxfId="1213">
      <calculatedColumnFormula>PersonalCare20324456[Costo Presupuestado]-PersonalCare20324456[Costo Real]</calculatedColumnFormula>
    </tableColumn>
  </tableColumns>
  <tableStyleInfo name="TableStyleLight2" showFirstColumn="0" showLastColumn="0" showRowStripes="1" showColumnStripes="0"/>
</table>
</file>

<file path=xl/tables/table68.xml><?xml version="1.0" encoding="utf-8"?>
<table xmlns="http://schemas.openxmlformats.org/spreadsheetml/2006/main" id="56" name="Entertainment21334557" displayName="Entertainment21334557" ref="G20:J28" totalsRowCount="1" headerRowDxfId="1211" dataDxfId="1210" totalsRowDxfId="1209" tableBorderDxfId="1208">
  <autoFilter ref="G20:J27"/>
  <tableColumns count="4">
    <tableColumn id="1" name="Entretenimiento" totalsRowLabel="Total" dataDxfId="1206" totalsRowDxfId="1207"/>
    <tableColumn id="2" name="Costo Presupuestado" totalsRowFunction="sum" dataDxfId="1204" totalsRowDxfId="1205"/>
    <tableColumn id="3" name="Costo Real" totalsRowFunction="sum" dataDxfId="1202" totalsRowDxfId="1203"/>
    <tableColumn id="4" name="Diferencia" totalsRowFunction="sum" dataDxfId="1200" totalsRowDxfId="1201">
      <calculatedColumnFormula>Entertainment21334557[Costo Presupuestado]-Entertainment21334557[Costo Real]</calculatedColumnFormula>
    </tableColumn>
  </tableColumns>
  <tableStyleInfo name="TableStyleLight2" showFirstColumn="0" showLastColumn="0" showRowStripes="1" showColumnStripes="0"/>
</table>
</file>

<file path=xl/tables/table69.xml><?xml version="1.0" encoding="utf-8"?>
<table xmlns="http://schemas.openxmlformats.org/spreadsheetml/2006/main" id="57" name="Loans22344658" displayName="Loans22344658" ref="G53:J60" totalsRowCount="1" headerRowDxfId="1199" dataDxfId="1198" totalsRowDxfId="1197" tableBorderDxfId="1196">
  <autoFilter ref="G53:J59"/>
  <tableColumns count="4">
    <tableColumn id="1" name="Gastos Financieros/ Prestamos" totalsRowLabel="Total" dataDxfId="1194" totalsRowDxfId="1195"/>
    <tableColumn id="2" name="Costo Presupuestado" totalsRowFunction="sum" dataDxfId="1192" totalsRowDxfId="1193"/>
    <tableColumn id="3" name="Costo Real" totalsRowFunction="sum" dataDxfId="1190" totalsRowDxfId="1191"/>
    <tableColumn id="4" name="Diferencia" totalsRowFunction="sum" dataDxfId="1188" totalsRowDxfId="1189">
      <calculatedColumnFormula>Loans22344658[Costo Presupuestado]-Loans22344658[Costo Real]</calculatedColumnFormula>
    </tableColumn>
  </tableColumns>
  <tableStyleInfo name="TableStyleLight2" showFirstColumn="0" showLastColumn="0" showRowStripes="1" showColumnStripes="0"/>
</table>
</file>

<file path=xl/tables/table7.xml><?xml version="1.0" encoding="utf-8"?>
<table xmlns="http://schemas.openxmlformats.org/spreadsheetml/2006/main" id="139" name="PersonalCare20140" displayName="PersonalCare20140" ref="G44:J51" totalsRowCount="1" headerRowDxfId="215" dataDxfId="214" totalsRowDxfId="213" tableBorderDxfId="212">
  <autoFilter ref="G44:J50"/>
  <tableColumns count="4">
    <tableColumn id="1" name="Cuidado Personal" totalsRowLabel="Total" dataDxfId="210" totalsRowDxfId="211"/>
    <tableColumn id="2" name="Costo Presupuestado" totalsRowFunction="sum" dataDxfId="208" totalsRowDxfId="209"/>
    <tableColumn id="3" name="Costo Real" totalsRowFunction="sum" dataDxfId="206" totalsRowDxfId="207"/>
    <tableColumn id="4" name="Diferencia" totalsRowFunction="sum" dataDxfId="204" totalsRowDxfId="205">
      <calculatedColumnFormula>PersonalCare20140[Costo Presupuestado]-PersonalCare20140[Costo Real]</calculatedColumnFormula>
    </tableColumn>
  </tableColumns>
  <tableStyleInfo name="TableStyleLight2" showFirstColumn="0" showLastColumn="0" showRowStripes="1" showColumnStripes="0"/>
</table>
</file>

<file path=xl/tables/table70.xml><?xml version="1.0" encoding="utf-8"?>
<table xmlns="http://schemas.openxmlformats.org/spreadsheetml/2006/main" id="58" name="Savings23354759" displayName="Savings23354759" ref="B6:E12" totalsRowCount="1" headerRowDxfId="1187" dataDxfId="1186" totalsRowDxfId="1185" tableBorderDxfId="1184">
  <autoFilter ref="B6:E11"/>
  <tableColumns count="4">
    <tableColumn id="1" name="Ahorro/ Inversiones" totalsRowLabel="Total" dataDxfId="1182" totalsRowDxfId="1183"/>
    <tableColumn id="2" name="Costo Presupuestado" totalsRowFunction="sum" dataDxfId="1180" totalsRowDxfId="1181"/>
    <tableColumn id="3" name="Costo Real" totalsRowFunction="sum" dataDxfId="1178" totalsRowDxfId="1179"/>
    <tableColumn id="4" name="Diferencia" totalsRowFunction="sum" dataDxfId="1176" totalsRowDxfId="1177">
      <calculatedColumnFormula>Savings23354759[Costo Presupuestado]-Savings23354759[Costo Real]</calculatedColumnFormula>
    </tableColumn>
  </tableColumns>
  <tableStyleInfo name="TableStyleLight2" showFirstColumn="0" showLastColumn="0" showRowStripes="1" showColumnStripes="0"/>
</table>
</file>

<file path=xl/tables/table71.xml><?xml version="1.0" encoding="utf-8"?>
<table xmlns="http://schemas.openxmlformats.org/spreadsheetml/2006/main" id="59" name="Gifts24364860" displayName="Gifts24364860" ref="G30:J34" totalsRowCount="1" headerRowDxfId="1175" dataDxfId="1174" totalsRowDxfId="1173" tableBorderDxfId="1172">
  <autoFilter ref="G30:J33"/>
  <tableColumns count="4">
    <tableColumn id="1" name="Regalos y Donaciones" totalsRowLabel="Total" dataDxfId="1170" totalsRowDxfId="1171"/>
    <tableColumn id="2" name="Costo Presupuestado" totalsRowFunction="sum" dataDxfId="1168" totalsRowDxfId="1169"/>
    <tableColumn id="3" name="Costo Real" totalsRowFunction="sum" dataDxfId="1166" totalsRowDxfId="1167"/>
    <tableColumn id="4" name="Diferencia" totalsRowFunction="sum" dataDxfId="1164" totalsRowDxfId="1165">
      <calculatedColumnFormula>Gifts24364860[Costo Presupuestado]-Gifts24364860[Costo Real]</calculatedColumnFormula>
    </tableColumn>
  </tableColumns>
  <tableStyleInfo name="TableStyleLight2" showFirstColumn="0" showLastColumn="0" showRowStripes="1" showColumnStripes="0"/>
</table>
</file>

<file path=xl/tables/table72.xml><?xml version="1.0" encoding="utf-8"?>
<table xmlns="http://schemas.openxmlformats.org/spreadsheetml/2006/main" id="60" name="Legal25374961" displayName="Legal25374961" ref="G62:J66" totalsRowCount="1" headerRowDxfId="1163" dataDxfId="1162" totalsRowDxfId="1161" tableBorderDxfId="1160">
  <autoFilter ref="G62:J65"/>
  <tableColumns count="4">
    <tableColumn id="1" name="Gastos Legales" totalsRowLabel="Total" dataDxfId="1158" totalsRowDxfId="1159"/>
    <tableColumn id="2" name="Costo Presupuestado" totalsRowFunction="sum" dataDxfId="1156" totalsRowDxfId="1157"/>
    <tableColumn id="3" name="Costo Real" totalsRowFunction="sum" dataDxfId="1154" totalsRowDxfId="1155"/>
    <tableColumn id="4" name="Diferencia" totalsRowFunction="sum" dataDxfId="1152" totalsRowDxfId="1153">
      <calculatedColumnFormula>Legal25374961[Costo Presupuestado]-Legal25374961[Costo Real]</calculatedColumnFormula>
    </tableColumn>
  </tableColumns>
  <tableStyleInfo name="TableStyleLight2" showFirstColumn="0" showLastColumn="0" showRowStripes="1" showColumnStripes="0"/>
</table>
</file>

<file path=xl/tables/table73.xml><?xml version="1.0" encoding="utf-8"?>
<table xmlns="http://schemas.openxmlformats.org/spreadsheetml/2006/main" id="61" name="Housing1126385062" displayName="Housing1126385062" ref="B14:E25" totalsRowCount="1" headerRowDxfId="1151" dataDxfId="1150" totalsRowDxfId="1149" tableBorderDxfId="1148">
  <autoFilter ref="B14:E24"/>
  <tableColumns count="4">
    <tableColumn id="1" name="Vivienda" totalsRowLabel="Total" dataDxfId="1146" totalsRowDxfId="1147"/>
    <tableColumn id="2" name="Costo Presupuestado" totalsRowFunction="sum" dataDxfId="1144" totalsRowDxfId="1145"/>
    <tableColumn id="3" name="Costo Real" totalsRowFunction="sum" dataDxfId="1142" totalsRowDxfId="1143"/>
    <tableColumn id="4" name="Diferencia" totalsRowFunction="sum" dataDxfId="1140" totalsRowDxfId="1141">
      <calculatedColumnFormula>Housing1126385062[Costo Presupuestado]-Housing1126385062[Costo Real]</calculatedColumnFormula>
    </tableColumn>
  </tableColumns>
  <tableStyleInfo name="TableStyleLight2" showFirstColumn="0" showLastColumn="0" showRowStripes="1" showColumnStripes="0"/>
</table>
</file>

<file path=xl/tables/table74.xml><?xml version="1.0" encoding="utf-8"?>
<table xmlns="http://schemas.openxmlformats.org/spreadsheetml/2006/main" id="62" name="Transportation1527395163" displayName="Transportation1527395163" ref="B27:E35" totalsRowCount="1" headerRowDxfId="1139" dataDxfId="1138" totalsRowDxfId="1137" tableBorderDxfId="1136">
  <autoFilter ref="B27:E34"/>
  <tableColumns count="4">
    <tableColumn id="1" name="Transporte" totalsRowLabel="Total" dataDxfId="1134" totalsRowDxfId="1135"/>
    <tableColumn id="2" name="Costo Presupuestado" totalsRowFunction="sum" dataDxfId="1132" totalsRowDxfId="1133"/>
    <tableColumn id="3" name="Costo Real" totalsRowFunction="sum" dataDxfId="1130" totalsRowDxfId="1131"/>
    <tableColumn id="4" name="Diferencia" totalsRowFunction="sum" dataDxfId="1128" totalsRowDxfId="1129">
      <calculatedColumnFormula>Transportation1527395163[Costo Presupuestado]-Transportation1527395163[Costo Real]</calculatedColumnFormula>
    </tableColumn>
  </tableColumns>
  <tableStyleInfo name="TableStyleLight2" showFirstColumn="0" showLastColumn="0" showRowStripes="1" showColumnStripes="0"/>
</table>
</file>

<file path=xl/tables/table75.xml><?xml version="1.0" encoding="utf-8"?>
<table xmlns="http://schemas.openxmlformats.org/spreadsheetml/2006/main" id="63" name="Insurance1628405264" displayName="Insurance1628405264" ref="B37:E42" totalsRowCount="1" headerRowDxfId="1127" dataDxfId="1126" totalsRowDxfId="1125" tableBorderDxfId="1124">
  <autoFilter ref="B37:E41"/>
  <tableColumns count="4">
    <tableColumn id="1" name="Seguros" totalsRowLabel="Total" dataDxfId="1122" totalsRowDxfId="1123"/>
    <tableColumn id="2" name="Costo Presupuestado" totalsRowFunction="sum" dataDxfId="1120" totalsRowDxfId="1121"/>
    <tableColumn id="3" name="Costo Real" totalsRowFunction="sum" dataDxfId="1118" totalsRowDxfId="1119"/>
    <tableColumn id="4" name="Diferencia" totalsRowFunction="sum" dataDxfId="1116" totalsRowDxfId="1117">
      <calculatedColumnFormula>Insurance1628405264[Costo Presupuestado]-Insurance1628405264[Costo Real]</calculatedColumnFormula>
    </tableColumn>
  </tableColumns>
  <tableStyleInfo name="TableStyleLight2" showFirstColumn="0" showLastColumn="0" showRowStripes="1" showColumnStripes="0"/>
</table>
</file>

<file path=xl/tables/table76.xml><?xml version="1.0" encoding="utf-8"?>
<table xmlns="http://schemas.openxmlformats.org/spreadsheetml/2006/main" id="64" name="Food1729415365" displayName="Food1729415365" ref="B44:E48" totalsRowCount="1" headerRowDxfId="1115" dataDxfId="1114" totalsRowDxfId="1113" tableBorderDxfId="1112">
  <autoFilter ref="B44:E47"/>
  <tableColumns count="4">
    <tableColumn id="1" name="Comida" totalsRowLabel="Total" dataDxfId="1110" totalsRowDxfId="1111"/>
    <tableColumn id="2" name="Costo Presupuestado" totalsRowFunction="sum" dataDxfId="1108" totalsRowDxfId="1109"/>
    <tableColumn id="3" name="Costo Real" totalsRowFunction="sum" dataDxfId="1106" totalsRowDxfId="1107"/>
    <tableColumn id="4" name="Diferencia" totalsRowFunction="sum" dataDxfId="1104" totalsRowDxfId="1105">
      <calculatedColumnFormula>Food1729415365[Costo Presupuestado]-Food1729415365[Costo Real]</calculatedColumnFormula>
    </tableColumn>
  </tableColumns>
  <tableStyleInfo name="TableStyleLight2" showFirstColumn="0" showLastColumn="0" showRowStripes="1" showColumnStripes="0"/>
</table>
</file>

<file path=xl/tables/table77.xml><?xml version="1.0" encoding="utf-8"?>
<table xmlns="http://schemas.openxmlformats.org/spreadsheetml/2006/main" id="65" name="Children1830425466" displayName="Children1830425466" ref="B50:E60" totalsRowCount="1" headerRowDxfId="1103" dataDxfId="1102" totalsRowDxfId="1101" tableBorderDxfId="1100">
  <autoFilter ref="B50:E59"/>
  <tableColumns count="4">
    <tableColumn id="1" name="Niños" totalsRowLabel="Total" dataDxfId="1098" totalsRowDxfId="1099"/>
    <tableColumn id="2" name="Costo Presupuestado" totalsRowFunction="sum" dataDxfId="1096" totalsRowDxfId="1097"/>
    <tableColumn id="3" name="Costo Real" totalsRowFunction="sum" dataDxfId="1094" totalsRowDxfId="1095"/>
    <tableColumn id="4" name="Diferencia" totalsRowFunction="sum" dataDxfId="1092" totalsRowDxfId="1093">
      <calculatedColumnFormula>Children1830425466[Costo Presupuestado]-Children1830425466[Costo Real]</calculatedColumnFormula>
    </tableColumn>
  </tableColumns>
  <tableStyleInfo name="TableStyleLight2" showFirstColumn="0" showLastColumn="0" showRowStripes="1" showColumnStripes="0"/>
</table>
</file>

<file path=xl/tables/table78.xml><?xml version="1.0" encoding="utf-8"?>
<table xmlns="http://schemas.openxmlformats.org/spreadsheetml/2006/main" id="66" name="Pets1931435567" displayName="Pets1931435567" ref="G36:J42" totalsRowCount="1" headerRowDxfId="1091" dataDxfId="1090" totalsRowDxfId="1089" tableBorderDxfId="1088">
  <autoFilter ref="G36:J41"/>
  <tableColumns count="4">
    <tableColumn id="1" name="Mascotas" totalsRowLabel="Total" dataDxfId="1086" totalsRowDxfId="1087"/>
    <tableColumn id="2" name="Costo Presupuestado" totalsRowFunction="sum" dataDxfId="1084" totalsRowDxfId="1085"/>
    <tableColumn id="3" name="Costo Real" totalsRowFunction="sum" dataDxfId="1082" totalsRowDxfId="1083"/>
    <tableColumn id="4" name="Diferencia" totalsRowFunction="sum" dataDxfId="1080" totalsRowDxfId="1081">
      <calculatedColumnFormula>Pets1931435567[Costo Presupuestado]-Pets1931435567[Costo Real]</calculatedColumnFormula>
    </tableColumn>
  </tableColumns>
  <tableStyleInfo name="TableStyleLight2" showFirstColumn="0" showLastColumn="0" showRowStripes="1" showColumnStripes="0"/>
</table>
</file>

<file path=xl/tables/table79.xml><?xml version="1.0" encoding="utf-8"?>
<table xmlns="http://schemas.openxmlformats.org/spreadsheetml/2006/main" id="67" name="PersonalCare2032445668" displayName="PersonalCare2032445668" ref="G44:J51" totalsRowCount="1" headerRowDxfId="1079" dataDxfId="1078" totalsRowDxfId="1077" tableBorderDxfId="1076">
  <autoFilter ref="G44:J50"/>
  <tableColumns count="4">
    <tableColumn id="1" name="Cuidado Personal" totalsRowLabel="Total" dataDxfId="1074" totalsRowDxfId="1075"/>
    <tableColumn id="2" name="Costo Presupuestado" totalsRowFunction="sum" dataDxfId="1072" totalsRowDxfId="1073"/>
    <tableColumn id="3" name="Costo Real" totalsRowFunction="sum" dataDxfId="1070" totalsRowDxfId="1071"/>
    <tableColumn id="4" name="Diferencia" totalsRowFunction="sum" dataDxfId="1068" totalsRowDxfId="1069">
      <calculatedColumnFormula>PersonalCare2032445668[Costo Presupuestado]-PersonalCare2032445668[Costo Real]</calculatedColumnFormula>
    </tableColumn>
  </tableColumns>
  <tableStyleInfo name="TableStyleLight2" showFirstColumn="0" showLastColumn="0" showRowStripes="1" showColumnStripes="0"/>
</table>
</file>

<file path=xl/tables/table8.xml><?xml version="1.0" encoding="utf-8"?>
<table xmlns="http://schemas.openxmlformats.org/spreadsheetml/2006/main" id="140" name="Entertainment21141" displayName="Entertainment21141" ref="G20:J28" totalsRowCount="1" headerRowDxfId="203" dataDxfId="202" totalsRowDxfId="201" tableBorderDxfId="200">
  <autoFilter ref="G20:J27"/>
  <tableColumns count="4">
    <tableColumn id="1" name="Entretenimiento" totalsRowLabel="Total" dataDxfId="198" totalsRowDxfId="199"/>
    <tableColumn id="2" name="Costo Presupuestado" totalsRowFunction="sum" dataDxfId="196" totalsRowDxfId="197"/>
    <tableColumn id="3" name="Costo Real" totalsRowFunction="sum" dataDxfId="194" totalsRowDxfId="195"/>
    <tableColumn id="4" name="Diferencia" totalsRowFunction="sum" dataDxfId="192" totalsRowDxfId="193">
      <calculatedColumnFormula>Entertainment21141[Costo Presupuestado]-Entertainment21141[Costo Real]</calculatedColumnFormula>
    </tableColumn>
  </tableColumns>
  <tableStyleInfo name="TableStyleLight2" showFirstColumn="0" showLastColumn="0" showRowStripes="1" showColumnStripes="0"/>
</table>
</file>

<file path=xl/tables/table80.xml><?xml version="1.0" encoding="utf-8"?>
<table xmlns="http://schemas.openxmlformats.org/spreadsheetml/2006/main" id="68" name="Entertainment2133455769" displayName="Entertainment2133455769" ref="G20:J28" totalsRowCount="1" headerRowDxfId="1067" dataDxfId="1066" totalsRowDxfId="1065" tableBorderDxfId="1064">
  <autoFilter ref="G20:J27"/>
  <tableColumns count="4">
    <tableColumn id="1" name="Entretenimiento" totalsRowLabel="Total" dataDxfId="1062" totalsRowDxfId="1063"/>
    <tableColumn id="2" name="Costo Presupuestado" totalsRowFunction="sum" dataDxfId="1060" totalsRowDxfId="1061"/>
    <tableColumn id="3" name="Costo Real" totalsRowFunction="sum" dataDxfId="1058" totalsRowDxfId="1059"/>
    <tableColumn id="4" name="Diferencia" totalsRowFunction="sum" dataDxfId="1056" totalsRowDxfId="1057">
      <calculatedColumnFormula>Entertainment2133455769[Costo Presupuestado]-Entertainment2133455769[Costo Real]</calculatedColumnFormula>
    </tableColumn>
  </tableColumns>
  <tableStyleInfo name="TableStyleLight2" showFirstColumn="0" showLastColumn="0" showRowStripes="1" showColumnStripes="0"/>
</table>
</file>

<file path=xl/tables/table81.xml><?xml version="1.0" encoding="utf-8"?>
<table xmlns="http://schemas.openxmlformats.org/spreadsheetml/2006/main" id="69" name="Loans2234465870" displayName="Loans2234465870" ref="G53:J60" totalsRowCount="1" headerRowDxfId="1055" dataDxfId="1054" totalsRowDxfId="1053" tableBorderDxfId="1052">
  <autoFilter ref="G53:J59"/>
  <tableColumns count="4">
    <tableColumn id="1" name="Gastos Financieros/ Prestamos" totalsRowLabel="Total" dataDxfId="1050" totalsRowDxfId="1051"/>
    <tableColumn id="2" name="Costo Presupuestado" totalsRowFunction="sum" dataDxfId="1048" totalsRowDxfId="1049"/>
    <tableColumn id="3" name="Costo Real" totalsRowFunction="sum" dataDxfId="1046" totalsRowDxfId="1047"/>
    <tableColumn id="4" name="Diferencia" totalsRowFunction="sum" dataDxfId="1044" totalsRowDxfId="1045">
      <calculatedColumnFormula>Loans2234465870[Costo Presupuestado]-Loans2234465870[Costo Real]</calculatedColumnFormula>
    </tableColumn>
  </tableColumns>
  <tableStyleInfo name="TableStyleLight2" showFirstColumn="0" showLastColumn="0" showRowStripes="1" showColumnStripes="0"/>
</table>
</file>

<file path=xl/tables/table82.xml><?xml version="1.0" encoding="utf-8"?>
<table xmlns="http://schemas.openxmlformats.org/spreadsheetml/2006/main" id="70" name="Savings2335475971" displayName="Savings2335475971" ref="B6:E12" totalsRowCount="1" headerRowDxfId="1043" dataDxfId="1042" totalsRowDxfId="1041" tableBorderDxfId="1040">
  <autoFilter ref="B6:E11"/>
  <tableColumns count="4">
    <tableColumn id="1" name="Ahorro/ Inversiones" totalsRowLabel="Total" dataDxfId="1038" totalsRowDxfId="1039"/>
    <tableColumn id="2" name="Costo Presupuestado" totalsRowFunction="sum" dataDxfId="1036" totalsRowDxfId="1037"/>
    <tableColumn id="3" name="Costo Real" totalsRowFunction="sum" dataDxfId="1034" totalsRowDxfId="1035"/>
    <tableColumn id="4" name="Diferencia" totalsRowFunction="sum" dataDxfId="1032" totalsRowDxfId="1033">
      <calculatedColumnFormula>Savings2335475971[Costo Presupuestado]-Savings2335475971[Costo Real]</calculatedColumnFormula>
    </tableColumn>
  </tableColumns>
  <tableStyleInfo name="TableStyleLight2" showFirstColumn="0" showLastColumn="0" showRowStripes="1" showColumnStripes="0"/>
</table>
</file>

<file path=xl/tables/table83.xml><?xml version="1.0" encoding="utf-8"?>
<table xmlns="http://schemas.openxmlformats.org/spreadsheetml/2006/main" id="71" name="Gifts2436486072" displayName="Gifts2436486072" ref="G30:J34" totalsRowCount="1" headerRowDxfId="1031" dataDxfId="1030" totalsRowDxfId="1029" tableBorderDxfId="1028">
  <autoFilter ref="G30:J33"/>
  <tableColumns count="4">
    <tableColumn id="1" name="Regalos y Donaciones" totalsRowLabel="Total" dataDxfId="1026" totalsRowDxfId="1027"/>
    <tableColumn id="2" name="Costo Presupuestado" totalsRowFunction="sum" dataDxfId="1024" totalsRowDxfId="1025"/>
    <tableColumn id="3" name="Costo Real" totalsRowFunction="sum" dataDxfId="1022" totalsRowDxfId="1023"/>
    <tableColumn id="4" name="Diferencia" totalsRowFunction="sum" dataDxfId="1020" totalsRowDxfId="1021">
      <calculatedColumnFormula>Gifts2436486072[Costo Presupuestado]-Gifts2436486072[Costo Real]</calculatedColumnFormula>
    </tableColumn>
  </tableColumns>
  <tableStyleInfo name="TableStyleLight2" showFirstColumn="0" showLastColumn="0" showRowStripes="1" showColumnStripes="0"/>
</table>
</file>

<file path=xl/tables/table84.xml><?xml version="1.0" encoding="utf-8"?>
<table xmlns="http://schemas.openxmlformats.org/spreadsheetml/2006/main" id="72" name="Legal2537496173" displayName="Legal2537496173" ref="G62:J66" totalsRowCount="1" headerRowDxfId="1019" dataDxfId="1018" totalsRowDxfId="1017" tableBorderDxfId="1016">
  <autoFilter ref="G62:J65"/>
  <tableColumns count="4">
    <tableColumn id="1" name="Gastos Legales" totalsRowLabel="Total" dataDxfId="1014" totalsRowDxfId="1015"/>
    <tableColumn id="2" name="Costo Presupuestado" totalsRowFunction="sum" dataDxfId="1012" totalsRowDxfId="1013"/>
    <tableColumn id="3" name="Costo Real" totalsRowFunction="sum" dataDxfId="1010" totalsRowDxfId="1011"/>
    <tableColumn id="4" name="Diferencia" totalsRowFunction="sum" dataDxfId="1008" totalsRowDxfId="1009">
      <calculatedColumnFormula>Legal2537496173[Costo Presupuestado]-Legal2537496173[Costo Real]</calculatedColumnFormula>
    </tableColumn>
  </tableColumns>
  <tableStyleInfo name="TableStyleLight2" showFirstColumn="0" showLastColumn="0" showRowStripes="1" showColumnStripes="0"/>
</table>
</file>

<file path=xl/tables/table85.xml><?xml version="1.0" encoding="utf-8"?>
<table xmlns="http://schemas.openxmlformats.org/spreadsheetml/2006/main" id="73" name="Housing112638506274" displayName="Housing112638506274" ref="B14:E25" totalsRowCount="1" headerRowDxfId="1007" dataDxfId="1006" totalsRowDxfId="1005" tableBorderDxfId="1004">
  <autoFilter ref="B14:E24"/>
  <tableColumns count="4">
    <tableColumn id="1" name="Vivienda" totalsRowLabel="Total" dataDxfId="1002" totalsRowDxfId="1003"/>
    <tableColumn id="2" name="Costo Presupuestado" totalsRowFunction="sum" dataDxfId="1000" totalsRowDxfId="1001"/>
    <tableColumn id="3" name="Costo Real" totalsRowFunction="sum" dataDxfId="998" totalsRowDxfId="999"/>
    <tableColumn id="4" name="Diferencia" totalsRowFunction="sum" dataDxfId="996" totalsRowDxfId="997">
      <calculatedColumnFormula>Housing112638506274[Costo Presupuestado]-Housing112638506274[Costo Real]</calculatedColumnFormula>
    </tableColumn>
  </tableColumns>
  <tableStyleInfo name="TableStyleLight2" showFirstColumn="0" showLastColumn="0" showRowStripes="1" showColumnStripes="0"/>
</table>
</file>

<file path=xl/tables/table86.xml><?xml version="1.0" encoding="utf-8"?>
<table xmlns="http://schemas.openxmlformats.org/spreadsheetml/2006/main" id="74" name="Transportation152739516375" displayName="Transportation152739516375" ref="B27:E35" totalsRowCount="1" headerRowDxfId="995" dataDxfId="994" totalsRowDxfId="993" tableBorderDxfId="992">
  <autoFilter ref="B27:E34"/>
  <tableColumns count="4">
    <tableColumn id="1" name="Transporte" totalsRowLabel="Total" dataDxfId="990" totalsRowDxfId="991"/>
    <tableColumn id="2" name="Costo Presupuestado" totalsRowFunction="sum" dataDxfId="988" totalsRowDxfId="989"/>
    <tableColumn id="3" name="Costo Real" totalsRowFunction="sum" dataDxfId="986" totalsRowDxfId="987"/>
    <tableColumn id="4" name="Diferencia" totalsRowFunction="sum" dataDxfId="984" totalsRowDxfId="985">
      <calculatedColumnFormula>Transportation152739516375[Costo Presupuestado]-Transportation152739516375[Costo Real]</calculatedColumnFormula>
    </tableColumn>
  </tableColumns>
  <tableStyleInfo name="TableStyleLight2" showFirstColumn="0" showLastColumn="0" showRowStripes="1" showColumnStripes="0"/>
</table>
</file>

<file path=xl/tables/table87.xml><?xml version="1.0" encoding="utf-8"?>
<table xmlns="http://schemas.openxmlformats.org/spreadsheetml/2006/main" id="75" name="Insurance162840526476" displayName="Insurance162840526476" ref="B37:E42" totalsRowCount="1" headerRowDxfId="983" dataDxfId="982" totalsRowDxfId="981" tableBorderDxfId="980">
  <autoFilter ref="B37:E41"/>
  <tableColumns count="4">
    <tableColumn id="1" name="Seguros" totalsRowLabel="Total" dataDxfId="978" totalsRowDxfId="979"/>
    <tableColumn id="2" name="Costo Presupuestado" totalsRowFunction="sum" dataDxfId="976" totalsRowDxfId="977"/>
    <tableColumn id="3" name="Costo Real" totalsRowFunction="sum" dataDxfId="974" totalsRowDxfId="975"/>
    <tableColumn id="4" name="Diferencia" totalsRowFunction="sum" dataDxfId="972" totalsRowDxfId="973">
      <calculatedColumnFormula>Insurance162840526476[Costo Presupuestado]-Insurance162840526476[Costo Real]</calculatedColumnFormula>
    </tableColumn>
  </tableColumns>
  <tableStyleInfo name="TableStyleLight2" showFirstColumn="0" showLastColumn="0" showRowStripes="1" showColumnStripes="0"/>
</table>
</file>

<file path=xl/tables/table88.xml><?xml version="1.0" encoding="utf-8"?>
<table xmlns="http://schemas.openxmlformats.org/spreadsheetml/2006/main" id="76" name="Food172941536577" displayName="Food172941536577" ref="B44:E48" totalsRowCount="1" headerRowDxfId="971" dataDxfId="970" totalsRowDxfId="969" tableBorderDxfId="968">
  <autoFilter ref="B44:E47"/>
  <tableColumns count="4">
    <tableColumn id="1" name="Comida" totalsRowLabel="Total" dataDxfId="966" totalsRowDxfId="967"/>
    <tableColumn id="2" name="Costo Presupuestado" totalsRowFunction="sum" dataDxfId="964" totalsRowDxfId="965"/>
    <tableColumn id="3" name="Costo Real" totalsRowFunction="sum" dataDxfId="962" totalsRowDxfId="963"/>
    <tableColumn id="4" name="Diferencia" totalsRowFunction="sum" dataDxfId="960" totalsRowDxfId="961">
      <calculatedColumnFormula>Food172941536577[Costo Presupuestado]-Food172941536577[Costo Real]</calculatedColumnFormula>
    </tableColumn>
  </tableColumns>
  <tableStyleInfo name="TableStyleLight2" showFirstColumn="0" showLastColumn="0" showRowStripes="1" showColumnStripes="0"/>
</table>
</file>

<file path=xl/tables/table89.xml><?xml version="1.0" encoding="utf-8"?>
<table xmlns="http://schemas.openxmlformats.org/spreadsheetml/2006/main" id="77" name="Children183042546678" displayName="Children183042546678" ref="B50:E60" totalsRowCount="1" headerRowDxfId="959" dataDxfId="958" totalsRowDxfId="957" tableBorderDxfId="956">
  <autoFilter ref="B50:E59"/>
  <tableColumns count="4">
    <tableColumn id="1" name="Niños" totalsRowLabel="Total" dataDxfId="954" totalsRowDxfId="955"/>
    <tableColumn id="2" name="Costo Presupuestado" totalsRowFunction="sum" dataDxfId="952" totalsRowDxfId="953"/>
    <tableColumn id="3" name="Costo Real" totalsRowFunction="sum" dataDxfId="950" totalsRowDxfId="951"/>
    <tableColumn id="4" name="Diferencia" totalsRowFunction="sum" dataDxfId="948" totalsRowDxfId="949">
      <calculatedColumnFormula>Children183042546678[Costo Presupuestado]-Children183042546678[Costo Real]</calculatedColumnFormula>
    </tableColumn>
  </tableColumns>
  <tableStyleInfo name="TableStyleLight2" showFirstColumn="0" showLastColumn="0" showRowStripes="1" showColumnStripes="0"/>
</table>
</file>

<file path=xl/tables/table9.xml><?xml version="1.0" encoding="utf-8"?>
<table xmlns="http://schemas.openxmlformats.org/spreadsheetml/2006/main" id="141" name="Loans22142" displayName="Loans22142" ref="G53:J60" totalsRowCount="1" headerRowDxfId="191" dataDxfId="190" totalsRowDxfId="189" tableBorderDxfId="188">
  <autoFilter ref="G53:J59"/>
  <tableColumns count="4">
    <tableColumn id="1" name="Gastos Financieros/ Prestamos" totalsRowLabel="Total" dataDxfId="186" totalsRowDxfId="187"/>
    <tableColumn id="2" name="Costo Presupuestado" totalsRowFunction="sum" dataDxfId="184" totalsRowDxfId="185"/>
    <tableColumn id="3" name="Costo Real" totalsRowFunction="sum" dataDxfId="182" totalsRowDxfId="183"/>
    <tableColumn id="4" name="Diferencia" totalsRowFunction="sum" dataDxfId="180" totalsRowDxfId="181">
      <calculatedColumnFormula>Loans22142[Costo Presupuestado]-Loans22142[Costo Real]</calculatedColumnFormula>
    </tableColumn>
  </tableColumns>
  <tableStyleInfo name="TableStyleLight2" showFirstColumn="0" showLastColumn="0" showRowStripes="1" showColumnStripes="0"/>
</table>
</file>

<file path=xl/tables/table90.xml><?xml version="1.0" encoding="utf-8"?>
<table xmlns="http://schemas.openxmlformats.org/spreadsheetml/2006/main" id="78" name="Pets193143556779" displayName="Pets193143556779" ref="G36:J42" totalsRowCount="1" headerRowDxfId="947" dataDxfId="946" totalsRowDxfId="945" tableBorderDxfId="944">
  <autoFilter ref="G36:J41"/>
  <tableColumns count="4">
    <tableColumn id="1" name="Mascotas" totalsRowLabel="Total" dataDxfId="942" totalsRowDxfId="943"/>
    <tableColumn id="2" name="Costo Presupuestado" totalsRowFunction="sum" dataDxfId="940" totalsRowDxfId="941"/>
    <tableColumn id="3" name="Costo Real" totalsRowFunction="sum" dataDxfId="938" totalsRowDxfId="939"/>
    <tableColumn id="4" name="Diferencia" totalsRowFunction="sum" dataDxfId="936" totalsRowDxfId="937">
      <calculatedColumnFormula>Pets193143556779[Costo Presupuestado]-Pets193143556779[Costo Real]</calculatedColumnFormula>
    </tableColumn>
  </tableColumns>
  <tableStyleInfo name="TableStyleLight2" showFirstColumn="0" showLastColumn="0" showRowStripes="1" showColumnStripes="0"/>
</table>
</file>

<file path=xl/tables/table91.xml><?xml version="1.0" encoding="utf-8"?>
<table xmlns="http://schemas.openxmlformats.org/spreadsheetml/2006/main" id="79" name="PersonalCare203244566880" displayName="PersonalCare203244566880" ref="G44:J51" totalsRowCount="1" headerRowDxfId="935" dataDxfId="934" totalsRowDxfId="933" tableBorderDxfId="932">
  <autoFilter ref="G44:J50"/>
  <tableColumns count="4">
    <tableColumn id="1" name="Cuidado Personal" totalsRowLabel="Total" dataDxfId="930" totalsRowDxfId="931"/>
    <tableColumn id="2" name="Costo Presupuestado" totalsRowFunction="sum" dataDxfId="928" totalsRowDxfId="929"/>
    <tableColumn id="3" name="Costo Real" totalsRowFunction="sum" dataDxfId="926" totalsRowDxfId="927"/>
    <tableColumn id="4" name="Diferencia" totalsRowFunction="sum" dataDxfId="924" totalsRowDxfId="925">
      <calculatedColumnFormula>PersonalCare203244566880[Costo Presupuestado]-PersonalCare203244566880[Costo Real]</calculatedColumnFormula>
    </tableColumn>
  </tableColumns>
  <tableStyleInfo name="TableStyleLight2" showFirstColumn="0" showLastColumn="0" showRowStripes="1" showColumnStripes="0"/>
</table>
</file>

<file path=xl/tables/table92.xml><?xml version="1.0" encoding="utf-8"?>
<table xmlns="http://schemas.openxmlformats.org/spreadsheetml/2006/main" id="80" name="Entertainment213345576981" displayName="Entertainment213345576981" ref="G20:J28" totalsRowCount="1" headerRowDxfId="923" dataDxfId="922" totalsRowDxfId="921" tableBorderDxfId="920">
  <autoFilter ref="G20:J27"/>
  <tableColumns count="4">
    <tableColumn id="1" name="Entretenimiento" totalsRowLabel="Total" dataDxfId="918" totalsRowDxfId="919"/>
    <tableColumn id="2" name="Costo Presupuestado" totalsRowFunction="sum" dataDxfId="916" totalsRowDxfId="917"/>
    <tableColumn id="3" name="Costo Real" totalsRowFunction="sum" dataDxfId="914" totalsRowDxfId="915"/>
    <tableColumn id="4" name="Diferencia" totalsRowFunction="sum" dataDxfId="912" totalsRowDxfId="913">
      <calculatedColumnFormula>Entertainment213345576981[Costo Presupuestado]-Entertainment213345576981[Costo Real]</calculatedColumnFormula>
    </tableColumn>
  </tableColumns>
  <tableStyleInfo name="TableStyleLight2" showFirstColumn="0" showLastColumn="0" showRowStripes="1" showColumnStripes="0"/>
</table>
</file>

<file path=xl/tables/table93.xml><?xml version="1.0" encoding="utf-8"?>
<table xmlns="http://schemas.openxmlformats.org/spreadsheetml/2006/main" id="81" name="Loans223446587082" displayName="Loans223446587082" ref="G53:J60" totalsRowCount="1" headerRowDxfId="911" dataDxfId="910" totalsRowDxfId="909" tableBorderDxfId="908">
  <autoFilter ref="G53:J59"/>
  <tableColumns count="4">
    <tableColumn id="1" name="Gastos Financieros/ Prestamos" totalsRowLabel="Total" dataDxfId="906" totalsRowDxfId="907"/>
    <tableColumn id="2" name="Costo Presupuestado" totalsRowFunction="sum" dataDxfId="904" totalsRowDxfId="905"/>
    <tableColumn id="3" name="Costo Real" totalsRowFunction="sum" dataDxfId="902" totalsRowDxfId="903"/>
    <tableColumn id="4" name="Diferencia" totalsRowFunction="sum" dataDxfId="900" totalsRowDxfId="901">
      <calculatedColumnFormula>Loans223446587082[Costo Presupuestado]-Loans223446587082[Costo Real]</calculatedColumnFormula>
    </tableColumn>
  </tableColumns>
  <tableStyleInfo name="TableStyleLight2" showFirstColumn="0" showLastColumn="0" showRowStripes="1" showColumnStripes="0"/>
</table>
</file>

<file path=xl/tables/table94.xml><?xml version="1.0" encoding="utf-8"?>
<table xmlns="http://schemas.openxmlformats.org/spreadsheetml/2006/main" id="82" name="Savings233547597183" displayName="Savings233547597183" ref="B6:E12" totalsRowCount="1" headerRowDxfId="899" dataDxfId="898" totalsRowDxfId="897" tableBorderDxfId="896">
  <autoFilter ref="B6:E11"/>
  <tableColumns count="4">
    <tableColumn id="1" name="Ahorro/ Inversiones" totalsRowLabel="Total" dataDxfId="894" totalsRowDxfId="895"/>
    <tableColumn id="2" name="Costo Presupuestado" totalsRowFunction="sum" dataDxfId="892" totalsRowDxfId="893"/>
    <tableColumn id="3" name="Costo Real" totalsRowFunction="sum" dataDxfId="890" totalsRowDxfId="891"/>
    <tableColumn id="4" name="Diferencia" totalsRowFunction="sum" dataDxfId="888" totalsRowDxfId="889">
      <calculatedColumnFormula>Savings233547597183[Costo Presupuestado]-Savings233547597183[Costo Real]</calculatedColumnFormula>
    </tableColumn>
  </tableColumns>
  <tableStyleInfo name="TableStyleLight2" showFirstColumn="0" showLastColumn="0" showRowStripes="1" showColumnStripes="0"/>
</table>
</file>

<file path=xl/tables/table95.xml><?xml version="1.0" encoding="utf-8"?>
<table xmlns="http://schemas.openxmlformats.org/spreadsheetml/2006/main" id="83" name="Gifts243648607284" displayName="Gifts243648607284" ref="G30:J34" totalsRowCount="1" headerRowDxfId="887" dataDxfId="886" totalsRowDxfId="885" tableBorderDxfId="884">
  <autoFilter ref="G30:J33"/>
  <tableColumns count="4">
    <tableColumn id="1" name="Regalos y Donaciones" totalsRowLabel="Total" dataDxfId="882" totalsRowDxfId="883"/>
    <tableColumn id="2" name="Costo Presupuestado" totalsRowFunction="sum" dataDxfId="880" totalsRowDxfId="881"/>
    <tableColumn id="3" name="Costo Real" totalsRowFunction="sum" dataDxfId="878" totalsRowDxfId="879"/>
    <tableColumn id="4" name="Diferencia" totalsRowFunction="sum" dataDxfId="876" totalsRowDxfId="877">
      <calculatedColumnFormula>Gifts243648607284[Costo Presupuestado]-Gifts243648607284[Costo Real]</calculatedColumnFormula>
    </tableColumn>
  </tableColumns>
  <tableStyleInfo name="TableStyleLight2" showFirstColumn="0" showLastColumn="0" showRowStripes="1" showColumnStripes="0"/>
</table>
</file>

<file path=xl/tables/table96.xml><?xml version="1.0" encoding="utf-8"?>
<table xmlns="http://schemas.openxmlformats.org/spreadsheetml/2006/main" id="84" name="Legal253749617385" displayName="Legal253749617385" ref="G62:J66" totalsRowCount="1" headerRowDxfId="875" dataDxfId="874" totalsRowDxfId="873" tableBorderDxfId="872">
  <autoFilter ref="G62:J65"/>
  <tableColumns count="4">
    <tableColumn id="1" name="Gastos Legales" totalsRowLabel="Total" dataDxfId="870" totalsRowDxfId="871"/>
    <tableColumn id="2" name="Costo Presupuestado" totalsRowFunction="sum" dataDxfId="868" totalsRowDxfId="869"/>
    <tableColumn id="3" name="Costo Real" totalsRowFunction="sum" dataDxfId="866" totalsRowDxfId="867"/>
    <tableColumn id="4" name="Diferencia" totalsRowFunction="sum" dataDxfId="864" totalsRowDxfId="865">
      <calculatedColumnFormula>Legal253749617385[Costo Presupuestado]-Legal253749617385[Costo Real]</calculatedColumnFormula>
    </tableColumn>
  </tableColumns>
  <tableStyleInfo name="TableStyleLight2" showFirstColumn="0" showLastColumn="0" showRowStripes="1" showColumnStripes="0"/>
</table>
</file>

<file path=xl/tables/table97.xml><?xml version="1.0" encoding="utf-8"?>
<table xmlns="http://schemas.openxmlformats.org/spreadsheetml/2006/main" id="85" name="Housing11263850627486" displayName="Housing11263850627486" ref="B14:E25" totalsRowCount="1" headerRowDxfId="863" dataDxfId="862" totalsRowDxfId="861" tableBorderDxfId="860">
  <autoFilter ref="B14:E24"/>
  <tableColumns count="4">
    <tableColumn id="1" name="Vivienda" totalsRowLabel="Total" dataDxfId="858" totalsRowDxfId="859"/>
    <tableColumn id="2" name="Costo Presupuestado" totalsRowFunction="sum" dataDxfId="856" totalsRowDxfId="857"/>
    <tableColumn id="3" name="Costo Real" totalsRowFunction="sum" dataDxfId="854" totalsRowDxfId="855"/>
    <tableColumn id="4" name="Diferencia" totalsRowFunction="sum" dataDxfId="852" totalsRowDxfId="853">
      <calculatedColumnFormula>Housing11263850627486[Costo Presupuestado]-Housing11263850627486[Costo Real]</calculatedColumnFormula>
    </tableColumn>
  </tableColumns>
  <tableStyleInfo name="TableStyleLight2" showFirstColumn="0" showLastColumn="0" showRowStripes="1" showColumnStripes="0"/>
</table>
</file>

<file path=xl/tables/table98.xml><?xml version="1.0" encoding="utf-8"?>
<table xmlns="http://schemas.openxmlformats.org/spreadsheetml/2006/main" id="86" name="Transportation15273951637587" displayName="Transportation15273951637587" ref="B27:E35" totalsRowCount="1" headerRowDxfId="851" dataDxfId="850" totalsRowDxfId="849" tableBorderDxfId="848">
  <autoFilter ref="B27:E34"/>
  <tableColumns count="4">
    <tableColumn id="1" name="Transporte" totalsRowLabel="Total" dataDxfId="846" totalsRowDxfId="847"/>
    <tableColumn id="2" name="Costo Presupuestado" totalsRowFunction="sum" dataDxfId="844" totalsRowDxfId="845"/>
    <tableColumn id="3" name="Costo Real" totalsRowFunction="sum" dataDxfId="842" totalsRowDxfId="843"/>
    <tableColumn id="4" name="Diferencia" totalsRowFunction="sum" dataDxfId="840" totalsRowDxfId="841">
      <calculatedColumnFormula>Transportation15273951637587[Costo Presupuestado]-Transportation15273951637587[Costo Real]</calculatedColumnFormula>
    </tableColumn>
  </tableColumns>
  <tableStyleInfo name="TableStyleLight2" showFirstColumn="0" showLastColumn="0" showRowStripes="1" showColumnStripes="0"/>
</table>
</file>

<file path=xl/tables/table99.xml><?xml version="1.0" encoding="utf-8"?>
<table xmlns="http://schemas.openxmlformats.org/spreadsheetml/2006/main" id="87" name="Insurance16284052647688" displayName="Insurance16284052647688" ref="B37:E42" totalsRowCount="1" headerRowDxfId="839" dataDxfId="838" totalsRowDxfId="837" tableBorderDxfId="836">
  <autoFilter ref="B37:E41"/>
  <tableColumns count="4">
    <tableColumn id="1" name="Seguros" totalsRowLabel="Total" dataDxfId="834" totalsRowDxfId="835"/>
    <tableColumn id="2" name="Costo Presupuestado" totalsRowFunction="sum" dataDxfId="832" totalsRowDxfId="833"/>
    <tableColumn id="3" name="Costo Real" totalsRowFunction="sum" dataDxfId="830" totalsRowDxfId="831"/>
    <tableColumn id="4" name="Diferencia" totalsRowFunction="sum" dataDxfId="828" totalsRowDxfId="829">
      <calculatedColumnFormula>Insurance16284052647688[Costo Presupuestado]-Insurance16284052647688[Costo Real]</calculatedColumnFormula>
    </tableColumn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13" Type="http://schemas.openxmlformats.org/officeDocument/2006/relationships/table" Target="../tables/table12.xml"/><Relationship Id="rId3" Type="http://schemas.openxmlformats.org/officeDocument/2006/relationships/table" Target="../tables/table2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5" Type="http://schemas.openxmlformats.org/officeDocument/2006/relationships/table" Target="../tables/table4.xml"/><Relationship Id="rId10" Type="http://schemas.openxmlformats.org/officeDocument/2006/relationships/table" Target="../tables/table9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15.xml"/><Relationship Id="rId13" Type="http://schemas.openxmlformats.org/officeDocument/2006/relationships/table" Target="../tables/table120.xml"/><Relationship Id="rId3" Type="http://schemas.openxmlformats.org/officeDocument/2006/relationships/table" Target="../tables/table110.xml"/><Relationship Id="rId7" Type="http://schemas.openxmlformats.org/officeDocument/2006/relationships/table" Target="../tables/table114.xml"/><Relationship Id="rId12" Type="http://schemas.openxmlformats.org/officeDocument/2006/relationships/table" Target="../tables/table119.xml"/><Relationship Id="rId2" Type="http://schemas.openxmlformats.org/officeDocument/2006/relationships/table" Target="../tables/table109.xml"/><Relationship Id="rId1" Type="http://schemas.openxmlformats.org/officeDocument/2006/relationships/drawing" Target="../drawings/drawing10.xml"/><Relationship Id="rId6" Type="http://schemas.openxmlformats.org/officeDocument/2006/relationships/table" Target="../tables/table113.xml"/><Relationship Id="rId11" Type="http://schemas.openxmlformats.org/officeDocument/2006/relationships/table" Target="../tables/table118.xml"/><Relationship Id="rId5" Type="http://schemas.openxmlformats.org/officeDocument/2006/relationships/table" Target="../tables/table112.xml"/><Relationship Id="rId10" Type="http://schemas.openxmlformats.org/officeDocument/2006/relationships/table" Target="../tables/table117.xml"/><Relationship Id="rId4" Type="http://schemas.openxmlformats.org/officeDocument/2006/relationships/table" Target="../tables/table111.xml"/><Relationship Id="rId9" Type="http://schemas.openxmlformats.org/officeDocument/2006/relationships/table" Target="../tables/table116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27.xml"/><Relationship Id="rId13" Type="http://schemas.openxmlformats.org/officeDocument/2006/relationships/table" Target="../tables/table132.xml"/><Relationship Id="rId3" Type="http://schemas.openxmlformats.org/officeDocument/2006/relationships/table" Target="../tables/table122.xml"/><Relationship Id="rId7" Type="http://schemas.openxmlformats.org/officeDocument/2006/relationships/table" Target="../tables/table126.xml"/><Relationship Id="rId12" Type="http://schemas.openxmlformats.org/officeDocument/2006/relationships/table" Target="../tables/table131.xml"/><Relationship Id="rId2" Type="http://schemas.openxmlformats.org/officeDocument/2006/relationships/table" Target="../tables/table121.xml"/><Relationship Id="rId1" Type="http://schemas.openxmlformats.org/officeDocument/2006/relationships/drawing" Target="../drawings/drawing11.xml"/><Relationship Id="rId6" Type="http://schemas.openxmlformats.org/officeDocument/2006/relationships/table" Target="../tables/table125.xml"/><Relationship Id="rId11" Type="http://schemas.openxmlformats.org/officeDocument/2006/relationships/table" Target="../tables/table130.xml"/><Relationship Id="rId5" Type="http://schemas.openxmlformats.org/officeDocument/2006/relationships/table" Target="../tables/table124.xml"/><Relationship Id="rId10" Type="http://schemas.openxmlformats.org/officeDocument/2006/relationships/table" Target="../tables/table129.xml"/><Relationship Id="rId4" Type="http://schemas.openxmlformats.org/officeDocument/2006/relationships/table" Target="../tables/table123.xml"/><Relationship Id="rId9" Type="http://schemas.openxmlformats.org/officeDocument/2006/relationships/table" Target="../tables/table128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39.xml"/><Relationship Id="rId13" Type="http://schemas.openxmlformats.org/officeDocument/2006/relationships/table" Target="../tables/table144.xml"/><Relationship Id="rId3" Type="http://schemas.openxmlformats.org/officeDocument/2006/relationships/table" Target="../tables/table134.xml"/><Relationship Id="rId7" Type="http://schemas.openxmlformats.org/officeDocument/2006/relationships/table" Target="../tables/table138.xml"/><Relationship Id="rId12" Type="http://schemas.openxmlformats.org/officeDocument/2006/relationships/table" Target="../tables/table143.xml"/><Relationship Id="rId2" Type="http://schemas.openxmlformats.org/officeDocument/2006/relationships/table" Target="../tables/table133.xml"/><Relationship Id="rId1" Type="http://schemas.openxmlformats.org/officeDocument/2006/relationships/drawing" Target="../drawings/drawing12.xml"/><Relationship Id="rId6" Type="http://schemas.openxmlformats.org/officeDocument/2006/relationships/table" Target="../tables/table137.xml"/><Relationship Id="rId11" Type="http://schemas.openxmlformats.org/officeDocument/2006/relationships/table" Target="../tables/table142.xml"/><Relationship Id="rId5" Type="http://schemas.openxmlformats.org/officeDocument/2006/relationships/table" Target="../tables/table136.xml"/><Relationship Id="rId10" Type="http://schemas.openxmlformats.org/officeDocument/2006/relationships/table" Target="../tables/table141.xml"/><Relationship Id="rId4" Type="http://schemas.openxmlformats.org/officeDocument/2006/relationships/table" Target="../tables/table135.xml"/><Relationship Id="rId9" Type="http://schemas.openxmlformats.org/officeDocument/2006/relationships/table" Target="../tables/table14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51.xml"/><Relationship Id="rId13" Type="http://schemas.openxmlformats.org/officeDocument/2006/relationships/table" Target="../tables/table156.xml"/><Relationship Id="rId3" Type="http://schemas.openxmlformats.org/officeDocument/2006/relationships/table" Target="../tables/table146.xml"/><Relationship Id="rId7" Type="http://schemas.openxmlformats.org/officeDocument/2006/relationships/table" Target="../tables/table150.xml"/><Relationship Id="rId12" Type="http://schemas.openxmlformats.org/officeDocument/2006/relationships/table" Target="../tables/table155.xml"/><Relationship Id="rId2" Type="http://schemas.openxmlformats.org/officeDocument/2006/relationships/table" Target="../tables/table145.xml"/><Relationship Id="rId1" Type="http://schemas.openxmlformats.org/officeDocument/2006/relationships/drawing" Target="../drawings/drawing14.xml"/><Relationship Id="rId6" Type="http://schemas.openxmlformats.org/officeDocument/2006/relationships/table" Target="../tables/table149.xml"/><Relationship Id="rId11" Type="http://schemas.openxmlformats.org/officeDocument/2006/relationships/table" Target="../tables/table154.xml"/><Relationship Id="rId5" Type="http://schemas.openxmlformats.org/officeDocument/2006/relationships/table" Target="../tables/table148.xml"/><Relationship Id="rId10" Type="http://schemas.openxmlformats.org/officeDocument/2006/relationships/table" Target="../tables/table153.xml"/><Relationship Id="rId4" Type="http://schemas.openxmlformats.org/officeDocument/2006/relationships/table" Target="../tables/table147.xml"/><Relationship Id="rId9" Type="http://schemas.openxmlformats.org/officeDocument/2006/relationships/table" Target="../tables/table152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9.xml"/><Relationship Id="rId13" Type="http://schemas.openxmlformats.org/officeDocument/2006/relationships/table" Target="../tables/table24.xml"/><Relationship Id="rId3" Type="http://schemas.openxmlformats.org/officeDocument/2006/relationships/table" Target="../tables/table14.xml"/><Relationship Id="rId7" Type="http://schemas.openxmlformats.org/officeDocument/2006/relationships/table" Target="../tables/table18.xml"/><Relationship Id="rId12" Type="http://schemas.openxmlformats.org/officeDocument/2006/relationships/table" Target="../tables/table23.xml"/><Relationship Id="rId2" Type="http://schemas.openxmlformats.org/officeDocument/2006/relationships/table" Target="../tables/table13.xml"/><Relationship Id="rId1" Type="http://schemas.openxmlformats.org/officeDocument/2006/relationships/drawing" Target="../drawings/drawing2.xml"/><Relationship Id="rId6" Type="http://schemas.openxmlformats.org/officeDocument/2006/relationships/table" Target="../tables/table17.xml"/><Relationship Id="rId11" Type="http://schemas.openxmlformats.org/officeDocument/2006/relationships/table" Target="../tables/table22.xml"/><Relationship Id="rId5" Type="http://schemas.openxmlformats.org/officeDocument/2006/relationships/table" Target="../tables/table16.xml"/><Relationship Id="rId10" Type="http://schemas.openxmlformats.org/officeDocument/2006/relationships/table" Target="../tables/table21.xml"/><Relationship Id="rId4" Type="http://schemas.openxmlformats.org/officeDocument/2006/relationships/table" Target="../tables/table15.xml"/><Relationship Id="rId9" Type="http://schemas.openxmlformats.org/officeDocument/2006/relationships/table" Target="../tables/table20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1.xml"/><Relationship Id="rId13" Type="http://schemas.openxmlformats.org/officeDocument/2006/relationships/table" Target="../tables/table36.xml"/><Relationship Id="rId3" Type="http://schemas.openxmlformats.org/officeDocument/2006/relationships/table" Target="../tables/table26.xml"/><Relationship Id="rId7" Type="http://schemas.openxmlformats.org/officeDocument/2006/relationships/table" Target="../tables/table30.xml"/><Relationship Id="rId12" Type="http://schemas.openxmlformats.org/officeDocument/2006/relationships/table" Target="../tables/table35.xml"/><Relationship Id="rId2" Type="http://schemas.openxmlformats.org/officeDocument/2006/relationships/table" Target="../tables/table25.xml"/><Relationship Id="rId1" Type="http://schemas.openxmlformats.org/officeDocument/2006/relationships/drawing" Target="../drawings/drawing3.xml"/><Relationship Id="rId6" Type="http://schemas.openxmlformats.org/officeDocument/2006/relationships/table" Target="../tables/table29.xml"/><Relationship Id="rId11" Type="http://schemas.openxmlformats.org/officeDocument/2006/relationships/table" Target="../tables/table34.xml"/><Relationship Id="rId5" Type="http://schemas.openxmlformats.org/officeDocument/2006/relationships/table" Target="../tables/table28.xml"/><Relationship Id="rId10" Type="http://schemas.openxmlformats.org/officeDocument/2006/relationships/table" Target="../tables/table33.xml"/><Relationship Id="rId4" Type="http://schemas.openxmlformats.org/officeDocument/2006/relationships/table" Target="../tables/table27.xml"/><Relationship Id="rId9" Type="http://schemas.openxmlformats.org/officeDocument/2006/relationships/table" Target="../tables/table32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3.xml"/><Relationship Id="rId13" Type="http://schemas.openxmlformats.org/officeDocument/2006/relationships/table" Target="../tables/table48.xml"/><Relationship Id="rId3" Type="http://schemas.openxmlformats.org/officeDocument/2006/relationships/table" Target="../tables/table38.xml"/><Relationship Id="rId7" Type="http://schemas.openxmlformats.org/officeDocument/2006/relationships/table" Target="../tables/table42.xml"/><Relationship Id="rId12" Type="http://schemas.openxmlformats.org/officeDocument/2006/relationships/table" Target="../tables/table47.xml"/><Relationship Id="rId2" Type="http://schemas.openxmlformats.org/officeDocument/2006/relationships/table" Target="../tables/table37.xml"/><Relationship Id="rId1" Type="http://schemas.openxmlformats.org/officeDocument/2006/relationships/drawing" Target="../drawings/drawing4.xml"/><Relationship Id="rId6" Type="http://schemas.openxmlformats.org/officeDocument/2006/relationships/table" Target="../tables/table41.xml"/><Relationship Id="rId11" Type="http://schemas.openxmlformats.org/officeDocument/2006/relationships/table" Target="../tables/table46.xml"/><Relationship Id="rId5" Type="http://schemas.openxmlformats.org/officeDocument/2006/relationships/table" Target="../tables/table40.xml"/><Relationship Id="rId10" Type="http://schemas.openxmlformats.org/officeDocument/2006/relationships/table" Target="../tables/table45.xml"/><Relationship Id="rId4" Type="http://schemas.openxmlformats.org/officeDocument/2006/relationships/table" Target="../tables/table39.xml"/><Relationship Id="rId9" Type="http://schemas.openxmlformats.org/officeDocument/2006/relationships/table" Target="../tables/table4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5.xml"/><Relationship Id="rId13" Type="http://schemas.openxmlformats.org/officeDocument/2006/relationships/table" Target="../tables/table60.xml"/><Relationship Id="rId3" Type="http://schemas.openxmlformats.org/officeDocument/2006/relationships/table" Target="../tables/table50.xml"/><Relationship Id="rId7" Type="http://schemas.openxmlformats.org/officeDocument/2006/relationships/table" Target="../tables/table54.xml"/><Relationship Id="rId12" Type="http://schemas.openxmlformats.org/officeDocument/2006/relationships/table" Target="../tables/table59.xml"/><Relationship Id="rId2" Type="http://schemas.openxmlformats.org/officeDocument/2006/relationships/table" Target="../tables/table49.xml"/><Relationship Id="rId1" Type="http://schemas.openxmlformats.org/officeDocument/2006/relationships/drawing" Target="../drawings/drawing5.xml"/><Relationship Id="rId6" Type="http://schemas.openxmlformats.org/officeDocument/2006/relationships/table" Target="../tables/table53.xml"/><Relationship Id="rId11" Type="http://schemas.openxmlformats.org/officeDocument/2006/relationships/table" Target="../tables/table58.xml"/><Relationship Id="rId5" Type="http://schemas.openxmlformats.org/officeDocument/2006/relationships/table" Target="../tables/table52.xml"/><Relationship Id="rId10" Type="http://schemas.openxmlformats.org/officeDocument/2006/relationships/table" Target="../tables/table57.xml"/><Relationship Id="rId4" Type="http://schemas.openxmlformats.org/officeDocument/2006/relationships/table" Target="../tables/table51.xml"/><Relationship Id="rId9" Type="http://schemas.openxmlformats.org/officeDocument/2006/relationships/table" Target="../tables/table56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7.xml"/><Relationship Id="rId13" Type="http://schemas.openxmlformats.org/officeDocument/2006/relationships/table" Target="../tables/table72.xml"/><Relationship Id="rId3" Type="http://schemas.openxmlformats.org/officeDocument/2006/relationships/table" Target="../tables/table62.xml"/><Relationship Id="rId7" Type="http://schemas.openxmlformats.org/officeDocument/2006/relationships/table" Target="../tables/table66.xml"/><Relationship Id="rId12" Type="http://schemas.openxmlformats.org/officeDocument/2006/relationships/table" Target="../tables/table71.xml"/><Relationship Id="rId2" Type="http://schemas.openxmlformats.org/officeDocument/2006/relationships/table" Target="../tables/table61.xml"/><Relationship Id="rId1" Type="http://schemas.openxmlformats.org/officeDocument/2006/relationships/drawing" Target="../drawings/drawing6.xml"/><Relationship Id="rId6" Type="http://schemas.openxmlformats.org/officeDocument/2006/relationships/table" Target="../tables/table65.xml"/><Relationship Id="rId11" Type="http://schemas.openxmlformats.org/officeDocument/2006/relationships/table" Target="../tables/table70.xml"/><Relationship Id="rId5" Type="http://schemas.openxmlformats.org/officeDocument/2006/relationships/table" Target="../tables/table64.xml"/><Relationship Id="rId10" Type="http://schemas.openxmlformats.org/officeDocument/2006/relationships/table" Target="../tables/table69.xml"/><Relationship Id="rId4" Type="http://schemas.openxmlformats.org/officeDocument/2006/relationships/table" Target="../tables/table63.xml"/><Relationship Id="rId9" Type="http://schemas.openxmlformats.org/officeDocument/2006/relationships/table" Target="../tables/table68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9.xml"/><Relationship Id="rId13" Type="http://schemas.openxmlformats.org/officeDocument/2006/relationships/table" Target="../tables/table84.xml"/><Relationship Id="rId3" Type="http://schemas.openxmlformats.org/officeDocument/2006/relationships/table" Target="../tables/table74.xml"/><Relationship Id="rId7" Type="http://schemas.openxmlformats.org/officeDocument/2006/relationships/table" Target="../tables/table78.xml"/><Relationship Id="rId12" Type="http://schemas.openxmlformats.org/officeDocument/2006/relationships/table" Target="../tables/table83.xml"/><Relationship Id="rId2" Type="http://schemas.openxmlformats.org/officeDocument/2006/relationships/table" Target="../tables/table73.xml"/><Relationship Id="rId1" Type="http://schemas.openxmlformats.org/officeDocument/2006/relationships/drawing" Target="../drawings/drawing7.xml"/><Relationship Id="rId6" Type="http://schemas.openxmlformats.org/officeDocument/2006/relationships/table" Target="../tables/table77.xml"/><Relationship Id="rId11" Type="http://schemas.openxmlformats.org/officeDocument/2006/relationships/table" Target="../tables/table82.xml"/><Relationship Id="rId5" Type="http://schemas.openxmlformats.org/officeDocument/2006/relationships/table" Target="../tables/table76.xml"/><Relationship Id="rId10" Type="http://schemas.openxmlformats.org/officeDocument/2006/relationships/table" Target="../tables/table81.xml"/><Relationship Id="rId4" Type="http://schemas.openxmlformats.org/officeDocument/2006/relationships/table" Target="../tables/table75.xml"/><Relationship Id="rId9" Type="http://schemas.openxmlformats.org/officeDocument/2006/relationships/table" Target="../tables/table80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1.xml"/><Relationship Id="rId13" Type="http://schemas.openxmlformats.org/officeDocument/2006/relationships/table" Target="../tables/table96.xml"/><Relationship Id="rId3" Type="http://schemas.openxmlformats.org/officeDocument/2006/relationships/table" Target="../tables/table86.xml"/><Relationship Id="rId7" Type="http://schemas.openxmlformats.org/officeDocument/2006/relationships/table" Target="../tables/table90.xml"/><Relationship Id="rId12" Type="http://schemas.openxmlformats.org/officeDocument/2006/relationships/table" Target="../tables/table95.xml"/><Relationship Id="rId2" Type="http://schemas.openxmlformats.org/officeDocument/2006/relationships/table" Target="../tables/table85.xml"/><Relationship Id="rId1" Type="http://schemas.openxmlformats.org/officeDocument/2006/relationships/drawing" Target="../drawings/drawing8.xml"/><Relationship Id="rId6" Type="http://schemas.openxmlformats.org/officeDocument/2006/relationships/table" Target="../tables/table89.xml"/><Relationship Id="rId11" Type="http://schemas.openxmlformats.org/officeDocument/2006/relationships/table" Target="../tables/table94.xml"/><Relationship Id="rId5" Type="http://schemas.openxmlformats.org/officeDocument/2006/relationships/table" Target="../tables/table88.xml"/><Relationship Id="rId10" Type="http://schemas.openxmlformats.org/officeDocument/2006/relationships/table" Target="../tables/table93.xml"/><Relationship Id="rId4" Type="http://schemas.openxmlformats.org/officeDocument/2006/relationships/table" Target="../tables/table87.xml"/><Relationship Id="rId9" Type="http://schemas.openxmlformats.org/officeDocument/2006/relationships/table" Target="../tables/table92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03.xml"/><Relationship Id="rId13" Type="http://schemas.openxmlformats.org/officeDocument/2006/relationships/table" Target="../tables/table108.xml"/><Relationship Id="rId3" Type="http://schemas.openxmlformats.org/officeDocument/2006/relationships/table" Target="../tables/table98.xml"/><Relationship Id="rId7" Type="http://schemas.openxmlformats.org/officeDocument/2006/relationships/table" Target="../tables/table102.xml"/><Relationship Id="rId12" Type="http://schemas.openxmlformats.org/officeDocument/2006/relationships/table" Target="../tables/table107.xml"/><Relationship Id="rId2" Type="http://schemas.openxmlformats.org/officeDocument/2006/relationships/table" Target="../tables/table97.xml"/><Relationship Id="rId1" Type="http://schemas.openxmlformats.org/officeDocument/2006/relationships/drawing" Target="../drawings/drawing9.xml"/><Relationship Id="rId6" Type="http://schemas.openxmlformats.org/officeDocument/2006/relationships/table" Target="../tables/table101.xml"/><Relationship Id="rId11" Type="http://schemas.openxmlformats.org/officeDocument/2006/relationships/table" Target="../tables/table106.xml"/><Relationship Id="rId5" Type="http://schemas.openxmlformats.org/officeDocument/2006/relationships/table" Target="../tables/table100.xml"/><Relationship Id="rId10" Type="http://schemas.openxmlformats.org/officeDocument/2006/relationships/table" Target="../tables/table105.xml"/><Relationship Id="rId4" Type="http://schemas.openxmlformats.org/officeDocument/2006/relationships/table" Target="../tables/table99.xml"/><Relationship Id="rId9" Type="http://schemas.openxmlformats.org/officeDocument/2006/relationships/table" Target="../tables/table10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0"/>
  <sheetViews>
    <sheetView workbookViewId="0">
      <selection activeCell="L1" sqref="L1"/>
    </sheetView>
  </sheetViews>
  <sheetFormatPr defaultRowHeight="15" x14ac:dyDescent="0.25"/>
  <cols>
    <col min="1" max="1" width="5" style="17" customWidth="1"/>
    <col min="2" max="2" width="17.42578125" style="17" customWidth="1"/>
    <col min="3" max="3" width="17.5703125" style="17" bestFit="1" customWidth="1"/>
    <col min="4" max="4" width="14" style="17" bestFit="1" customWidth="1"/>
    <col min="5" max="5" width="13" style="17" customWidth="1"/>
    <col min="6" max="6" width="5.5703125" style="17" customWidth="1"/>
    <col min="7" max="7" width="15.42578125" style="17" customWidth="1"/>
    <col min="8" max="8" width="14.7109375" style="17" bestFit="1" customWidth="1"/>
    <col min="9" max="9" width="12" style="17" bestFit="1" customWidth="1"/>
    <col min="10" max="10" width="10.85546875" style="17" bestFit="1" customWidth="1"/>
    <col min="11" max="16384" width="9.140625" style="17"/>
  </cols>
  <sheetData>
    <row r="1" spans="1:18" ht="62.25" customHeight="1" x14ac:dyDescent="0.3">
      <c r="A1" s="19"/>
      <c r="B1" s="51"/>
      <c r="C1" s="51"/>
      <c r="D1" s="51"/>
      <c r="E1" s="51"/>
      <c r="F1" s="51"/>
      <c r="G1" s="51"/>
      <c r="H1" s="51"/>
      <c r="I1" s="1"/>
      <c r="J1" s="1"/>
      <c r="K1" s="19"/>
      <c r="L1" s="19"/>
    </row>
    <row r="2" spans="1:18" ht="18.75" customHeight="1" thickBot="1" x14ac:dyDescent="0.3">
      <c r="A2" s="19"/>
      <c r="B2" s="38"/>
      <c r="C2" s="38"/>
      <c r="D2" s="38"/>
      <c r="E2" s="38"/>
      <c r="F2" s="38"/>
      <c r="G2" s="38"/>
      <c r="H2" s="38"/>
      <c r="I2" s="38"/>
      <c r="J2" s="38"/>
      <c r="K2" s="19"/>
      <c r="L2" s="19"/>
    </row>
    <row r="3" spans="1:18" ht="26.25" thickBot="1" x14ac:dyDescent="0.3">
      <c r="B3" s="52" t="s">
        <v>6</v>
      </c>
      <c r="C3" s="53"/>
      <c r="D3" s="23" t="s">
        <v>7</v>
      </c>
      <c r="E3" s="24" t="s">
        <v>8</v>
      </c>
      <c r="F3" s="2"/>
      <c r="G3" s="54" t="s">
        <v>9</v>
      </c>
      <c r="H3" s="55"/>
      <c r="I3" s="2"/>
      <c r="J3" s="2"/>
      <c r="K3" s="19"/>
      <c r="L3" s="19"/>
      <c r="Q3" s="19"/>
      <c r="R3" s="19"/>
    </row>
    <row r="4" spans="1:18" ht="15.75" thickBot="1" x14ac:dyDescent="0.3">
      <c r="B4" s="25"/>
      <c r="C4" s="50">
        <f>Housing11134[[#Totals],[Costo Presupuestado]]+Transportation15135[[#Totals],[Costo Presupuestado]]+Insurance16136[[#Totals],[Costo Presupuestado]]+Food17137[[#Totals],[Costo Presupuestado]]+Children18138[[#Totals],[Costo Presupuestado]]+Legal25145[[#Totals],[Costo Presupuestado]]+Savings23143[[#Totals],[Costo Presupuestado]]+Loans22142[[#Totals],[Costo Presupuestado]]+Entertainment21141[[#Totals],[Costo Presupuestado]]+PersonalCare20140[[#Totals],[Costo Presupuestado]]+Pets19139[[#Totals],[Costo Presupuestado]]+Gifts24144[[#Totals],[Costo Presupuestado]]</f>
        <v>44250</v>
      </c>
      <c r="D4" s="50">
        <f>Housing11134[[#Totals],[Costo Real]]+Transportation15135[[#Totals],[Costo Real]]+Insurance16136[[#Totals],[Costo Real]]+Food17137[[#Totals],[Costo Real]]+Children18138[[#Totals],[Costo Real]]+Legal25145[[#Totals],[Costo Real]]+Savings23143[[#Totals],[Costo Real]]+Loans22142[[#Totals],[Costo Real]]+Entertainment21141[[#Totals],[Costo Real]]+PersonalCare20140[[#Totals],[Costo Real]]+Pets19139[[#Totals],[Costo Real]]+Gifts24144[[#Totals],[Costo Real]]</f>
        <v>39844</v>
      </c>
      <c r="E4" s="45">
        <f>Housing11134[[#Totals],[Diferencia]]+Transportation15135[[#Totals],[Diferencia]]+Insurance16136[[#Totals],[Diferencia]]+Food17137[[#Totals],[Diferencia]]+Children18138[[#Totals],[Diferencia]]+Legal25145[[#Totals],[Diferencia]]+Savings23143[[#Totals],[Diferencia]]+Loans22142[[#Totals],[Diferencia]]+Entertainment21141[[#Totals],[Diferencia]]+PersonalCare20140[[#Totals],[Diferencia]]+Pets19139[[#Totals],[Diferencia]]+Gifts24144[[#Totals],[Diferencia]]</f>
        <v>4406</v>
      </c>
      <c r="F4" s="2"/>
      <c r="G4" s="39" t="s">
        <v>10</v>
      </c>
      <c r="H4" s="48">
        <v>50000</v>
      </c>
      <c r="I4" s="2"/>
      <c r="J4" s="2"/>
      <c r="K4" s="19"/>
      <c r="L4" s="19"/>
      <c r="Q4" s="19"/>
      <c r="R4" s="19"/>
    </row>
    <row r="5" spans="1:18" ht="25.5" x14ac:dyDescent="0.25">
      <c r="F5" s="3"/>
      <c r="G5" s="26" t="s">
        <v>11</v>
      </c>
      <c r="H5" s="46">
        <v>5000</v>
      </c>
      <c r="I5" s="3"/>
      <c r="J5" s="3"/>
      <c r="K5" s="19"/>
      <c r="L5" s="19"/>
      <c r="Q5" s="19"/>
      <c r="R5" s="19"/>
    </row>
    <row r="6" spans="1:18" ht="25.5" x14ac:dyDescent="0.25">
      <c r="B6" s="33" t="s">
        <v>20</v>
      </c>
      <c r="C6" s="13" t="s">
        <v>18</v>
      </c>
      <c r="D6" s="13" t="s">
        <v>19</v>
      </c>
      <c r="E6" s="13" t="s">
        <v>8</v>
      </c>
      <c r="F6" s="3"/>
      <c r="G6" s="26" t="s">
        <v>12</v>
      </c>
      <c r="H6" s="46">
        <v>0</v>
      </c>
      <c r="I6" s="3"/>
      <c r="J6" s="3"/>
      <c r="K6" s="19"/>
      <c r="L6" s="19"/>
      <c r="Q6" s="19"/>
      <c r="R6" s="19"/>
    </row>
    <row r="7" spans="1:18" ht="26.25" thickBot="1" x14ac:dyDescent="0.3">
      <c r="B7" s="3" t="s">
        <v>77</v>
      </c>
      <c r="C7" s="40">
        <v>5000</v>
      </c>
      <c r="D7" s="40">
        <v>5000</v>
      </c>
      <c r="E7" s="40">
        <f>Savings23143[Costo Presupuestado]-Savings23143[Costo Real]</f>
        <v>0</v>
      </c>
      <c r="F7" s="3"/>
      <c r="G7" s="27" t="s">
        <v>13</v>
      </c>
      <c r="H7" s="47">
        <f>SUM(H4:H6)</f>
        <v>55000</v>
      </c>
      <c r="I7" s="3"/>
      <c r="J7" s="3"/>
      <c r="K7" s="19"/>
      <c r="L7" s="19"/>
      <c r="Q7" s="19"/>
      <c r="R7" s="19"/>
    </row>
    <row r="8" spans="1:18" ht="15.75" thickBot="1" x14ac:dyDescent="0.3">
      <c r="B8" s="3" t="s">
        <v>78</v>
      </c>
      <c r="C8" s="40"/>
      <c r="D8" s="40"/>
      <c r="E8" s="40">
        <f>Savings23143[Costo Presupuestado]-Savings23143[Costo Real]</f>
        <v>0</v>
      </c>
      <c r="F8" s="3"/>
      <c r="G8" s="5"/>
      <c r="H8" s="6"/>
      <c r="I8" s="18"/>
      <c r="J8" s="18"/>
      <c r="K8" s="19"/>
      <c r="L8" s="19"/>
      <c r="Q8" s="19"/>
      <c r="R8" s="19"/>
    </row>
    <row r="9" spans="1:18" ht="25.5" x14ac:dyDescent="0.25">
      <c r="B9" s="3" t="s">
        <v>81</v>
      </c>
      <c r="C9" s="40"/>
      <c r="D9" s="40"/>
      <c r="E9" s="40">
        <f>Savings23143[Costo Presupuestado]-Savings23143[Costo Real]</f>
        <v>0</v>
      </c>
      <c r="F9" s="3"/>
      <c r="G9" s="56" t="s">
        <v>14</v>
      </c>
      <c r="H9" s="57"/>
      <c r="I9" s="3"/>
      <c r="J9" s="3"/>
      <c r="K9" s="19" t="s">
        <v>0</v>
      </c>
      <c r="L9" s="19"/>
      <c r="Q9" s="19"/>
      <c r="R9" s="19"/>
    </row>
    <row r="10" spans="1:18" x14ac:dyDescent="0.25">
      <c r="B10" s="36" t="s">
        <v>80</v>
      </c>
      <c r="C10" s="42"/>
      <c r="D10" s="42"/>
      <c r="E10" s="40">
        <f>Savings23143[Costo Presupuestado]-Savings23143[Costo Real]</f>
        <v>0</v>
      </c>
      <c r="F10" s="3"/>
      <c r="G10" s="26" t="s">
        <v>10</v>
      </c>
      <c r="H10" s="46">
        <v>48000</v>
      </c>
      <c r="I10" s="3"/>
      <c r="J10" s="3"/>
      <c r="K10" s="19"/>
      <c r="L10" s="19"/>
      <c r="Q10" s="19"/>
      <c r="R10" s="19"/>
    </row>
    <row r="11" spans="1:18" ht="25.5" x14ac:dyDescent="0.25">
      <c r="B11" s="3" t="s">
        <v>79</v>
      </c>
      <c r="C11" s="40"/>
      <c r="D11" s="40"/>
      <c r="E11" s="40">
        <f>Savings23143[Costo Presupuestado]-Savings23143[Costo Real]</f>
        <v>0</v>
      </c>
      <c r="F11" s="3"/>
      <c r="G11" s="26" t="s">
        <v>11</v>
      </c>
      <c r="H11" s="46">
        <v>4500</v>
      </c>
      <c r="I11" s="3"/>
      <c r="J11" s="3"/>
      <c r="K11" s="19"/>
      <c r="L11" s="19"/>
      <c r="Q11" s="58"/>
      <c r="R11" s="58"/>
    </row>
    <row r="12" spans="1:18" x14ac:dyDescent="0.25">
      <c r="B12" s="34" t="s">
        <v>3</v>
      </c>
      <c r="C12" s="41">
        <f>SUBTOTAL(109,Savings23143[Costo Presupuestado])</f>
        <v>5000</v>
      </c>
      <c r="D12" s="41">
        <f>SUBTOTAL(109,Savings23143[Costo Real])</f>
        <v>5000</v>
      </c>
      <c r="E12" s="41">
        <f>SUBTOTAL(109,Savings23143[Diferencia])</f>
        <v>0</v>
      </c>
      <c r="F12" s="3"/>
      <c r="G12" s="26" t="s">
        <v>12</v>
      </c>
      <c r="H12" s="46">
        <v>0</v>
      </c>
      <c r="I12" s="3"/>
      <c r="J12" s="3"/>
      <c r="K12" s="19"/>
      <c r="L12" s="19"/>
      <c r="Q12" s="7"/>
      <c r="R12" s="8"/>
    </row>
    <row r="13" spans="1:18" ht="26.25" thickBot="1" x14ac:dyDescent="0.3">
      <c r="F13" s="3"/>
      <c r="G13" s="27" t="s">
        <v>13</v>
      </c>
      <c r="H13" s="47">
        <f>SUM(H10:H12)</f>
        <v>52500</v>
      </c>
      <c r="I13" s="3"/>
      <c r="J13" s="3"/>
      <c r="K13" s="19"/>
      <c r="L13" s="19"/>
      <c r="Q13" s="7"/>
      <c r="R13" s="8"/>
    </row>
    <row r="14" spans="1:18" ht="26.25" thickBot="1" x14ac:dyDescent="0.3">
      <c r="B14" s="12" t="s">
        <v>17</v>
      </c>
      <c r="C14" s="13" t="s">
        <v>18</v>
      </c>
      <c r="D14" s="13" t="s">
        <v>19</v>
      </c>
      <c r="E14" s="13" t="s">
        <v>8</v>
      </c>
      <c r="F14" s="3"/>
      <c r="G14" s="2"/>
      <c r="H14" s="2"/>
      <c r="I14" s="3"/>
      <c r="J14" s="3"/>
      <c r="K14" s="19"/>
      <c r="L14" s="19"/>
      <c r="Q14" s="7"/>
      <c r="R14" s="8"/>
    </row>
    <row r="15" spans="1:18" ht="25.5" x14ac:dyDescent="0.25">
      <c r="B15" s="3" t="s">
        <v>36</v>
      </c>
      <c r="C15" s="40">
        <v>16000</v>
      </c>
      <c r="D15" s="40">
        <v>16000</v>
      </c>
      <c r="E15" s="4">
        <f>Housing11134[Costo Presupuestado]-Housing11134[Costo Real]</f>
        <v>0</v>
      </c>
      <c r="F15" s="3"/>
      <c r="G15" s="29" t="s">
        <v>15</v>
      </c>
      <c r="H15" s="43">
        <f>SUM(H7-C4)</f>
        <v>10750</v>
      </c>
      <c r="I15" s="3"/>
      <c r="J15" s="3"/>
      <c r="K15" s="19"/>
      <c r="L15" s="19"/>
      <c r="Q15" s="7"/>
      <c r="R15" s="8"/>
    </row>
    <row r="16" spans="1:18" ht="25.5" customHeight="1" x14ac:dyDescent="0.25">
      <c r="B16" s="3" t="s">
        <v>37</v>
      </c>
      <c r="C16" s="40">
        <v>0</v>
      </c>
      <c r="D16" s="40">
        <v>0</v>
      </c>
      <c r="E16" s="4">
        <f>Housing11134[Costo Presupuestado]-Housing11134[Costo Real]</f>
        <v>0</v>
      </c>
      <c r="F16" s="3"/>
      <c r="G16" s="30" t="s">
        <v>16</v>
      </c>
      <c r="H16" s="44">
        <f>SUM(H13-D4)</f>
        <v>12656</v>
      </c>
      <c r="I16" s="3"/>
      <c r="J16" s="3"/>
      <c r="K16" s="19"/>
      <c r="L16" s="19"/>
      <c r="Q16" s="10"/>
      <c r="R16" s="2"/>
    </row>
    <row r="17" spans="2:18" ht="15.75" thickBot="1" x14ac:dyDescent="0.3">
      <c r="B17" s="3" t="s">
        <v>38</v>
      </c>
      <c r="C17" s="40">
        <v>0</v>
      </c>
      <c r="D17" s="40">
        <v>0</v>
      </c>
      <c r="E17" s="4">
        <f>Housing11134[Costo Presupuestado]-Housing11134[Costo Real]</f>
        <v>0</v>
      </c>
      <c r="F17" s="3"/>
      <c r="G17" s="31" t="s">
        <v>8</v>
      </c>
      <c r="H17" s="45">
        <f>SUM(H16-H15)</f>
        <v>1906</v>
      </c>
      <c r="I17" s="3"/>
      <c r="J17" s="3"/>
      <c r="K17" s="19"/>
      <c r="L17" s="19"/>
      <c r="Q17" s="58"/>
      <c r="R17" s="58"/>
    </row>
    <row r="18" spans="2:18" x14ac:dyDescent="0.25">
      <c r="B18" s="3" t="s">
        <v>31</v>
      </c>
      <c r="C18" s="40">
        <v>200</v>
      </c>
      <c r="D18" s="40">
        <v>200</v>
      </c>
      <c r="E18" s="4">
        <f>Housing11134[Costo Presupuestado]-Housing11134[Costo Real]</f>
        <v>0</v>
      </c>
      <c r="F18" s="3"/>
      <c r="G18" s="3"/>
      <c r="H18" s="3"/>
      <c r="I18" s="3"/>
      <c r="J18" s="3"/>
      <c r="K18" s="19"/>
      <c r="L18" s="19"/>
      <c r="Q18" s="7"/>
      <c r="R18" s="8"/>
    </row>
    <row r="19" spans="2:18" x14ac:dyDescent="0.25">
      <c r="B19" s="3" t="s">
        <v>32</v>
      </c>
      <c r="C19" s="40">
        <v>100</v>
      </c>
      <c r="D19" s="40">
        <v>100</v>
      </c>
      <c r="E19" s="4">
        <f>Housing11134[Costo Presupuestado]-Housing11134[Costo Real]</f>
        <v>0</v>
      </c>
      <c r="F19" s="3"/>
      <c r="G19" s="18"/>
      <c r="H19" s="18"/>
      <c r="I19" s="18"/>
      <c r="J19" s="18"/>
      <c r="K19" s="19"/>
      <c r="L19" s="19"/>
      <c r="Q19" s="7"/>
      <c r="R19" s="8"/>
    </row>
    <row r="20" spans="2:18" ht="25.5" x14ac:dyDescent="0.25">
      <c r="B20" s="3" t="s">
        <v>33</v>
      </c>
      <c r="C20" s="40">
        <v>0</v>
      </c>
      <c r="D20" s="40">
        <v>0</v>
      </c>
      <c r="E20" s="4">
        <f>Housing11134[Costo Presupuestado]-Housing11134[Costo Real]</f>
        <v>0</v>
      </c>
      <c r="F20" s="3"/>
      <c r="G20" s="14" t="s">
        <v>29</v>
      </c>
      <c r="H20" s="13" t="s">
        <v>18</v>
      </c>
      <c r="I20" s="13" t="s">
        <v>19</v>
      </c>
      <c r="J20" s="13" t="s">
        <v>8</v>
      </c>
      <c r="K20" s="19"/>
      <c r="L20" s="19"/>
      <c r="Q20" s="7"/>
      <c r="R20" s="8"/>
    </row>
    <row r="21" spans="2:18" ht="25.5" x14ac:dyDescent="0.25">
      <c r="B21" s="3" t="s">
        <v>1</v>
      </c>
      <c r="C21" s="40">
        <v>1000</v>
      </c>
      <c r="D21" s="40">
        <v>900</v>
      </c>
      <c r="E21" s="4">
        <f>Housing11134[Costo Presupuestado]-Housing11134[Costo Real]</f>
        <v>100</v>
      </c>
      <c r="F21" s="3"/>
      <c r="G21" s="3" t="s">
        <v>87</v>
      </c>
      <c r="H21" s="40">
        <v>0</v>
      </c>
      <c r="I21" s="40">
        <v>0</v>
      </c>
      <c r="J21" s="4">
        <f>Entertainment21141[Costo Presupuestado]-Entertainment21141[Costo Real]</f>
        <v>0</v>
      </c>
      <c r="K21" s="19"/>
      <c r="L21" s="19"/>
      <c r="Q21" s="7"/>
      <c r="R21" s="8"/>
    </row>
    <row r="22" spans="2:18" ht="25.5" customHeight="1" x14ac:dyDescent="0.25">
      <c r="B22" s="3" t="s">
        <v>2</v>
      </c>
      <c r="C22" s="40">
        <v>450</v>
      </c>
      <c r="D22" s="40">
        <v>400</v>
      </c>
      <c r="E22" s="4">
        <f>Housing11134[Costo Presupuestado]-Housing11134[Costo Real]</f>
        <v>50</v>
      </c>
      <c r="F22" s="3"/>
      <c r="G22" s="3" t="s">
        <v>86</v>
      </c>
      <c r="H22" s="40">
        <v>5000</v>
      </c>
      <c r="I22" s="40">
        <v>4000</v>
      </c>
      <c r="J22" s="4">
        <f>Entertainment21141[Costo Presupuestado]-Entertainment21141[Costo Real]</f>
        <v>1000</v>
      </c>
      <c r="K22" s="19"/>
      <c r="L22" s="19"/>
      <c r="Q22" s="2"/>
      <c r="R22" s="2"/>
    </row>
    <row r="23" spans="2:18" x14ac:dyDescent="0.25">
      <c r="B23" s="3" t="s">
        <v>34</v>
      </c>
      <c r="C23" s="40">
        <v>1800</v>
      </c>
      <c r="D23" s="40">
        <v>1600</v>
      </c>
      <c r="E23" s="9">
        <f>Housing11134[Costo Presupuestado]-Housing11134[Costo Real]</f>
        <v>200</v>
      </c>
      <c r="F23" s="3"/>
      <c r="G23" s="3" t="s">
        <v>82</v>
      </c>
      <c r="H23" s="40">
        <v>700</v>
      </c>
      <c r="I23" s="40">
        <v>1000</v>
      </c>
      <c r="J23" s="4">
        <f>Entertainment21141[Costo Presupuestado]-Entertainment21141[Costo Real]</f>
        <v>-300</v>
      </c>
      <c r="K23" s="19"/>
      <c r="L23" s="19"/>
      <c r="Q23" s="20"/>
      <c r="R23" s="11"/>
    </row>
    <row r="24" spans="2:18" x14ac:dyDescent="0.25">
      <c r="B24" s="3" t="s">
        <v>35</v>
      </c>
      <c r="C24" s="40">
        <v>500</v>
      </c>
      <c r="D24" s="40">
        <v>44</v>
      </c>
      <c r="E24" s="4">
        <f>Housing11134[Costo Presupuestado]-Housing11134[Costo Real]</f>
        <v>456</v>
      </c>
      <c r="F24" s="3"/>
      <c r="G24" s="3" t="s">
        <v>83</v>
      </c>
      <c r="H24" s="40">
        <v>0</v>
      </c>
      <c r="I24" s="40">
        <v>0</v>
      </c>
      <c r="J24" s="4">
        <f>Entertainment21141[Costo Presupuestado]-Entertainment21141[Costo Real]</f>
        <v>0</v>
      </c>
      <c r="K24" s="19"/>
      <c r="L24" s="19"/>
    </row>
    <row r="25" spans="2:18" ht="25.5" x14ac:dyDescent="0.25">
      <c r="B25" s="21" t="s">
        <v>3</v>
      </c>
      <c r="C25" s="40">
        <f>SUBTOTAL(109,Housing11134[Costo Presupuestado])</f>
        <v>20050</v>
      </c>
      <c r="D25" s="40">
        <f>SUBTOTAL(109,Housing11134[Costo Real])</f>
        <v>19244</v>
      </c>
      <c r="E25" s="40">
        <f>SUBTOTAL(109,Housing11134[Diferencia])</f>
        <v>806</v>
      </c>
      <c r="F25" s="3"/>
      <c r="G25" s="3" t="s">
        <v>84</v>
      </c>
      <c r="H25" s="40">
        <v>0</v>
      </c>
      <c r="I25" s="40">
        <v>0</v>
      </c>
      <c r="J25" s="4">
        <f>Entertainment21141[Costo Presupuestado]-Entertainment21141[Costo Real]</f>
        <v>0</v>
      </c>
      <c r="K25" s="19"/>
      <c r="L25" s="19"/>
    </row>
    <row r="26" spans="2:18" x14ac:dyDescent="0.25">
      <c r="B26" s="37"/>
      <c r="C26" s="37"/>
      <c r="D26" s="37"/>
      <c r="E26" s="37"/>
      <c r="F26" s="3"/>
      <c r="G26" s="3" t="s">
        <v>85</v>
      </c>
      <c r="H26" s="40">
        <v>0</v>
      </c>
      <c r="I26" s="40">
        <v>0</v>
      </c>
      <c r="J26" s="4">
        <f>Entertainment21141[Costo Presupuestado]-Entertainment21141[Costo Real]</f>
        <v>0</v>
      </c>
      <c r="K26" s="19"/>
      <c r="L26" s="19"/>
    </row>
    <row r="27" spans="2:18" ht="25.5" x14ac:dyDescent="0.25">
      <c r="B27" s="28" t="s">
        <v>30</v>
      </c>
      <c r="C27" s="13" t="s">
        <v>18</v>
      </c>
      <c r="D27" s="13" t="s">
        <v>19</v>
      </c>
      <c r="E27" s="13" t="s">
        <v>8</v>
      </c>
      <c r="F27" s="3"/>
      <c r="G27" s="3" t="s">
        <v>64</v>
      </c>
      <c r="H27" s="40"/>
      <c r="I27" s="40"/>
      <c r="J27" s="4">
        <f>Entertainment21141[Costo Presupuestado]-Entertainment21141[Costo Real]</f>
        <v>0</v>
      </c>
      <c r="K27" s="19"/>
      <c r="L27" s="19"/>
    </row>
    <row r="28" spans="2:18" ht="25.5" x14ac:dyDescent="0.25">
      <c r="B28" s="3" t="s">
        <v>43</v>
      </c>
      <c r="C28" s="40">
        <v>0</v>
      </c>
      <c r="D28" s="40">
        <v>0</v>
      </c>
      <c r="E28" s="4">
        <f>Transportation15135[Costo Presupuestado]-Transportation15135[Costo Real]</f>
        <v>0</v>
      </c>
      <c r="F28" s="3"/>
      <c r="G28" s="34" t="s">
        <v>3</v>
      </c>
      <c r="H28" s="35">
        <f>SUBTOTAL(109,Entertainment21141[Costo Presupuestado])</f>
        <v>5700</v>
      </c>
      <c r="I28" s="35">
        <f>SUBTOTAL(109,Entertainment21141[Costo Real])</f>
        <v>5000</v>
      </c>
      <c r="J28" s="35">
        <f>SUBTOTAL(109,Entertainment21141[Diferencia])</f>
        <v>700</v>
      </c>
      <c r="K28" s="19"/>
      <c r="L28" s="19"/>
    </row>
    <row r="29" spans="2:18" ht="25.5" x14ac:dyDescent="0.25">
      <c r="B29" s="3" t="s">
        <v>44</v>
      </c>
      <c r="C29" s="40">
        <v>0</v>
      </c>
      <c r="D29" s="40">
        <v>0</v>
      </c>
      <c r="E29" s="4">
        <f>Transportation15135[Costo Presupuestado]-Transportation15135[Costo Real]</f>
        <v>0</v>
      </c>
      <c r="F29" s="3"/>
      <c r="K29" s="19"/>
      <c r="L29" s="19"/>
    </row>
    <row r="30" spans="2:18" ht="25.5" x14ac:dyDescent="0.25">
      <c r="B30" s="3" t="s">
        <v>39</v>
      </c>
      <c r="C30" s="40">
        <v>0</v>
      </c>
      <c r="D30" s="40">
        <v>0</v>
      </c>
      <c r="E30" s="4">
        <f>Transportation15135[Costo Presupuestado]-Transportation15135[Costo Real]</f>
        <v>0</v>
      </c>
      <c r="F30" s="3"/>
      <c r="G30" s="15" t="s">
        <v>28</v>
      </c>
      <c r="H30" s="13" t="s">
        <v>18</v>
      </c>
      <c r="I30" s="13" t="s">
        <v>19</v>
      </c>
      <c r="J30" s="13" t="s">
        <v>8</v>
      </c>
      <c r="K30" s="19"/>
      <c r="L30" s="19"/>
    </row>
    <row r="31" spans="2:18" x14ac:dyDescent="0.25">
      <c r="B31" s="3" t="s">
        <v>40</v>
      </c>
      <c r="C31" s="40">
        <v>6000</v>
      </c>
      <c r="D31" s="40">
        <v>4000</v>
      </c>
      <c r="E31" s="4">
        <f>Transportation15135[Costo Presupuestado]-Transportation15135[Costo Real]</f>
        <v>2000</v>
      </c>
      <c r="F31" s="3"/>
      <c r="G31" s="3" t="s">
        <v>49</v>
      </c>
      <c r="H31" s="40"/>
      <c r="I31" s="40">
        <v>0</v>
      </c>
      <c r="J31" s="4">
        <f>Gifts24144[Costo Presupuestado]-Gifts24144[Costo Real]</f>
        <v>0</v>
      </c>
      <c r="K31" s="19"/>
      <c r="L31" s="19"/>
    </row>
    <row r="32" spans="2:18" x14ac:dyDescent="0.25">
      <c r="B32" s="3" t="s">
        <v>41</v>
      </c>
      <c r="C32" s="40">
        <v>0</v>
      </c>
      <c r="D32" s="40">
        <v>0</v>
      </c>
      <c r="E32" s="4">
        <f>Transportation15135[Costo Presupuestado]-Transportation15135[Costo Real]</f>
        <v>0</v>
      </c>
      <c r="F32" s="3"/>
      <c r="G32" s="3" t="s">
        <v>50</v>
      </c>
      <c r="H32" s="40"/>
      <c r="I32" s="40"/>
      <c r="J32" s="4">
        <f>Gifts24144[Costo Presupuestado]-Gifts24144[Costo Real]</f>
        <v>0</v>
      </c>
      <c r="K32" s="19"/>
      <c r="L32" s="19"/>
    </row>
    <row r="33" spans="2:12" x14ac:dyDescent="0.25">
      <c r="B33" s="3" t="s">
        <v>42</v>
      </c>
      <c r="C33" s="40">
        <v>0</v>
      </c>
      <c r="D33" s="40">
        <v>0</v>
      </c>
      <c r="E33" s="4">
        <f>Transportation15135[Costo Presupuestado]-Transportation15135[Costo Real]</f>
        <v>0</v>
      </c>
      <c r="F33" s="3"/>
      <c r="G33" s="3" t="s">
        <v>51</v>
      </c>
      <c r="H33" s="40"/>
      <c r="I33" s="40"/>
      <c r="J33" s="4">
        <f>Gifts24144[Costo Presupuestado]-Gifts24144[Costo Real]</f>
        <v>0</v>
      </c>
      <c r="K33" s="19"/>
      <c r="L33" s="19"/>
    </row>
    <row r="34" spans="2:12" x14ac:dyDescent="0.25">
      <c r="B34" s="3" t="s">
        <v>38</v>
      </c>
      <c r="C34" s="40">
        <v>0</v>
      </c>
      <c r="D34" s="40">
        <v>0</v>
      </c>
      <c r="E34" s="4">
        <f>Transportation15135[Costo Presupuestado]-Transportation15135[Costo Real]</f>
        <v>0</v>
      </c>
      <c r="F34" s="3"/>
      <c r="G34" s="34" t="s">
        <v>3</v>
      </c>
      <c r="H34" s="41">
        <f>SUBTOTAL(109,Gifts24144[Costo Presupuestado])</f>
        <v>0</v>
      </c>
      <c r="I34" s="41">
        <f>SUBTOTAL(109,Gifts24144[Costo Real])</f>
        <v>0</v>
      </c>
      <c r="J34" s="41">
        <f>SUBTOTAL(109,Gifts24144[Diferencia])</f>
        <v>0</v>
      </c>
      <c r="K34" s="19"/>
      <c r="L34" s="19"/>
    </row>
    <row r="35" spans="2:12" x14ac:dyDescent="0.25">
      <c r="B35" s="34" t="s">
        <v>3</v>
      </c>
      <c r="C35" s="41">
        <f>SUBTOTAL(109,Transportation15135[Costo Presupuestado])</f>
        <v>6000</v>
      </c>
      <c r="D35" s="41">
        <f>SUBTOTAL(109,Transportation15135[Costo Real])</f>
        <v>4000</v>
      </c>
      <c r="E35" s="41">
        <f>SUBTOTAL(109,Transportation15135[Diferencia])</f>
        <v>2000</v>
      </c>
      <c r="F35" s="3"/>
      <c r="K35" s="19"/>
      <c r="L35" s="19"/>
    </row>
    <row r="36" spans="2:12" ht="25.5" x14ac:dyDescent="0.25">
      <c r="B36" s="37"/>
      <c r="C36" s="37"/>
      <c r="D36" s="37"/>
      <c r="E36" s="37"/>
      <c r="F36" s="3"/>
      <c r="G36" s="32" t="s">
        <v>25</v>
      </c>
      <c r="H36" s="13" t="s">
        <v>18</v>
      </c>
      <c r="I36" s="13" t="s">
        <v>19</v>
      </c>
      <c r="J36" s="13" t="s">
        <v>8</v>
      </c>
      <c r="K36" s="19"/>
      <c r="L36" s="19"/>
    </row>
    <row r="37" spans="2:12" ht="25.5" x14ac:dyDescent="0.25">
      <c r="B37" s="16" t="s">
        <v>27</v>
      </c>
      <c r="C37" s="13" t="s">
        <v>18</v>
      </c>
      <c r="D37" s="13" t="s">
        <v>19</v>
      </c>
      <c r="E37" s="13" t="s">
        <v>8</v>
      </c>
      <c r="F37" s="3"/>
      <c r="G37" s="3" t="s">
        <v>52</v>
      </c>
      <c r="H37" s="40"/>
      <c r="I37" s="40"/>
      <c r="J37" s="4">
        <f>Pets19139[Costo Presupuestado]-Pets19139[Costo Real]</f>
        <v>0</v>
      </c>
      <c r="K37" s="19"/>
      <c r="L37" s="19"/>
    </row>
    <row r="38" spans="2:12" x14ac:dyDescent="0.25">
      <c r="B38" s="3" t="s">
        <v>45</v>
      </c>
      <c r="C38" s="40">
        <v>0</v>
      </c>
      <c r="D38" s="40">
        <v>0</v>
      </c>
      <c r="E38" s="4">
        <f>Insurance16136[Costo Presupuestado]-Insurance16136[Costo Real]</f>
        <v>0</v>
      </c>
      <c r="F38" s="3"/>
      <c r="G38" s="3" t="s">
        <v>53</v>
      </c>
      <c r="H38" s="40"/>
      <c r="I38" s="40"/>
      <c r="J38" s="4">
        <f>Pets19139[Costo Presupuestado]-Pets19139[Costo Real]</f>
        <v>0</v>
      </c>
      <c r="K38" s="19"/>
      <c r="L38" s="19"/>
    </row>
    <row r="39" spans="2:12" x14ac:dyDescent="0.25">
      <c r="B39" s="3" t="s">
        <v>46</v>
      </c>
      <c r="C39" s="40">
        <v>500</v>
      </c>
      <c r="D39" s="40">
        <v>500</v>
      </c>
      <c r="E39" s="4">
        <f>Insurance16136[Costo Presupuestado]-Insurance16136[Costo Real]</f>
        <v>0</v>
      </c>
      <c r="F39" s="3"/>
      <c r="G39" s="3" t="s">
        <v>54</v>
      </c>
      <c r="H39" s="40"/>
      <c r="I39" s="40"/>
      <c r="J39" s="4">
        <f>Pets19139[Costo Presupuestado]-Pets19139[Costo Real]</f>
        <v>0</v>
      </c>
      <c r="K39" s="19"/>
      <c r="L39" s="19"/>
    </row>
    <row r="40" spans="2:12" x14ac:dyDescent="0.25">
      <c r="B40" s="3" t="s">
        <v>47</v>
      </c>
      <c r="C40" s="40">
        <v>0</v>
      </c>
      <c r="D40" s="40">
        <v>0</v>
      </c>
      <c r="E40" s="4">
        <f>Insurance16136[Costo Presupuestado]-Insurance16136[Costo Real]</f>
        <v>0</v>
      </c>
      <c r="F40" s="3"/>
      <c r="G40" s="3" t="s">
        <v>55</v>
      </c>
      <c r="H40" s="40"/>
      <c r="I40" s="40"/>
      <c r="J40" s="4">
        <f>Pets19139[Costo Presupuestado]-Pets19139[Costo Real]</f>
        <v>0</v>
      </c>
      <c r="K40" s="19"/>
      <c r="L40" s="19"/>
    </row>
    <row r="41" spans="2:12" x14ac:dyDescent="0.25">
      <c r="B41" s="3" t="s">
        <v>48</v>
      </c>
      <c r="C41" s="40">
        <v>0</v>
      </c>
      <c r="D41" s="40">
        <v>0</v>
      </c>
      <c r="E41" s="4">
        <f>Insurance16136[Costo Presupuestado]-Insurance16136[Costo Real]</f>
        <v>0</v>
      </c>
      <c r="F41" s="3"/>
      <c r="G41" s="3" t="s">
        <v>56</v>
      </c>
      <c r="H41" s="40"/>
      <c r="I41" s="40"/>
      <c r="J41" s="4">
        <f>Pets19139[Costo Presupuestado]-Pets19139[Costo Real]</f>
        <v>0</v>
      </c>
      <c r="K41" s="19"/>
      <c r="L41" s="19"/>
    </row>
    <row r="42" spans="2:12" x14ac:dyDescent="0.25">
      <c r="B42" s="34" t="s">
        <v>3</v>
      </c>
      <c r="C42" s="41">
        <f>SUBTOTAL(109,Insurance16136[Costo Presupuestado])</f>
        <v>500</v>
      </c>
      <c r="D42" s="41">
        <f>SUBTOTAL(109,Insurance16136[Costo Real])</f>
        <v>500</v>
      </c>
      <c r="E42" s="41">
        <f>SUBTOTAL(109,Insurance16136[Diferencia])</f>
        <v>0</v>
      </c>
      <c r="F42" s="3"/>
      <c r="G42" s="34" t="s">
        <v>3</v>
      </c>
      <c r="H42" s="49">
        <f>SUBTOTAL(109,Pets19139[Costo Presupuestado])</f>
        <v>0</v>
      </c>
      <c r="I42" s="49">
        <f>SUBTOTAL(109,Pets19139[Costo Real])</f>
        <v>0</v>
      </c>
      <c r="J42" s="49">
        <f>SUBTOTAL(109,Pets19139[Diferencia])</f>
        <v>0</v>
      </c>
      <c r="K42" s="19"/>
      <c r="L42" s="19"/>
    </row>
    <row r="43" spans="2:12" ht="25.5" customHeight="1" x14ac:dyDescent="0.25">
      <c r="B43" s="37"/>
      <c r="C43" s="37"/>
      <c r="D43" s="37"/>
      <c r="E43" s="37"/>
      <c r="F43" s="3"/>
      <c r="K43" s="19"/>
      <c r="L43" s="19"/>
    </row>
    <row r="44" spans="2:12" ht="25.5" x14ac:dyDescent="0.25">
      <c r="B44" s="16" t="s">
        <v>26</v>
      </c>
      <c r="C44" s="13" t="s">
        <v>18</v>
      </c>
      <c r="D44" s="13" t="s">
        <v>19</v>
      </c>
      <c r="E44" s="13" t="s">
        <v>8</v>
      </c>
      <c r="F44" s="3"/>
      <c r="G44" s="32" t="s">
        <v>24</v>
      </c>
      <c r="H44" s="13" t="s">
        <v>18</v>
      </c>
      <c r="I44" s="13" t="s">
        <v>19</v>
      </c>
      <c r="J44" s="13" t="s">
        <v>8</v>
      </c>
      <c r="K44" s="19"/>
      <c r="L44" s="19"/>
    </row>
    <row r="45" spans="2:12" x14ac:dyDescent="0.25">
      <c r="B45" s="3" t="s">
        <v>57</v>
      </c>
      <c r="C45" s="40">
        <v>2000</v>
      </c>
      <c r="D45" s="40">
        <v>2500</v>
      </c>
      <c r="E45" s="4">
        <f>Food17137[Costo Presupuestado]-Food17137[Costo Real]</f>
        <v>-500</v>
      </c>
      <c r="F45" s="3"/>
      <c r="G45" s="3" t="s">
        <v>72</v>
      </c>
      <c r="H45" s="40"/>
      <c r="I45" s="40"/>
      <c r="J45" s="4">
        <f>PersonalCare20140[Costo Presupuestado]-PersonalCare20140[Costo Real]</f>
        <v>0</v>
      </c>
      <c r="K45" s="19"/>
      <c r="L45" s="19"/>
    </row>
    <row r="46" spans="2:12" x14ac:dyDescent="0.25">
      <c r="B46" s="3" t="s">
        <v>58</v>
      </c>
      <c r="C46" s="40">
        <v>4000</v>
      </c>
      <c r="D46" s="40">
        <v>3000</v>
      </c>
      <c r="E46" s="4">
        <f>Food17137[Costo Presupuestado]-Food17137[Costo Real]</f>
        <v>1000</v>
      </c>
      <c r="F46" s="3"/>
      <c r="G46" s="3" t="s">
        <v>73</v>
      </c>
      <c r="H46" s="40"/>
      <c r="I46" s="40"/>
      <c r="J46" s="4">
        <f>PersonalCare20140[Costo Presupuestado]-PersonalCare20140[Costo Real]</f>
        <v>0</v>
      </c>
      <c r="K46" s="19"/>
      <c r="L46" s="19"/>
    </row>
    <row r="47" spans="2:12" x14ac:dyDescent="0.25">
      <c r="B47" s="3" t="s">
        <v>56</v>
      </c>
      <c r="C47" s="40">
        <v>0</v>
      </c>
      <c r="D47" s="40">
        <v>0</v>
      </c>
      <c r="E47" s="4">
        <f>Food17137[Costo Presupuestado]-Food17137[Costo Real]</f>
        <v>0</v>
      </c>
      <c r="F47" s="3"/>
      <c r="G47" s="3" t="s">
        <v>74</v>
      </c>
      <c r="H47" s="40">
        <v>1000</v>
      </c>
      <c r="I47" s="40">
        <v>600</v>
      </c>
      <c r="J47" s="4">
        <f>PersonalCare20140[Costo Presupuestado]-PersonalCare20140[Costo Real]</f>
        <v>400</v>
      </c>
      <c r="K47" s="19"/>
      <c r="L47" s="19"/>
    </row>
    <row r="48" spans="2:12" x14ac:dyDescent="0.25">
      <c r="B48" s="34" t="s">
        <v>3</v>
      </c>
      <c r="C48" s="41">
        <f>SUBTOTAL(109,Food17137[Costo Presupuestado])</f>
        <v>6000</v>
      </c>
      <c r="D48" s="41">
        <f>SUBTOTAL(109,Food17137[Costo Real])</f>
        <v>5500</v>
      </c>
      <c r="E48" s="41">
        <f>SUBTOTAL(109,Food17137[Diferencia])</f>
        <v>500</v>
      </c>
      <c r="F48" s="3"/>
      <c r="G48" s="3" t="s">
        <v>75</v>
      </c>
      <c r="H48" s="40"/>
      <c r="I48" s="40"/>
      <c r="J48" s="4">
        <f>PersonalCare20140[Costo Presupuestado]-PersonalCare20140[Costo Real]</f>
        <v>0</v>
      </c>
      <c r="K48" s="19"/>
      <c r="L48" s="19"/>
    </row>
    <row r="49" spans="2:12" ht="25.5" customHeight="1" x14ac:dyDescent="0.25">
      <c r="B49" s="37"/>
      <c r="C49" s="37"/>
      <c r="D49" s="37"/>
      <c r="E49" s="37"/>
      <c r="F49" s="3"/>
      <c r="G49" s="3" t="s">
        <v>76</v>
      </c>
      <c r="H49" s="40"/>
      <c r="I49" s="40"/>
      <c r="J49" s="4">
        <f>PersonalCare20140[Costo Presupuestado]-PersonalCare20140[Costo Real]</f>
        <v>0</v>
      </c>
      <c r="K49" s="19"/>
      <c r="L49" s="19"/>
    </row>
    <row r="50" spans="2:12" ht="25.5" customHeight="1" x14ac:dyDescent="0.25">
      <c r="B50" s="16" t="s">
        <v>23</v>
      </c>
      <c r="C50" s="13" t="s">
        <v>18</v>
      </c>
      <c r="D50" s="13" t="s">
        <v>19</v>
      </c>
      <c r="E50" s="13" t="s">
        <v>8</v>
      </c>
      <c r="F50" s="3"/>
      <c r="G50" s="3" t="s">
        <v>64</v>
      </c>
      <c r="H50" s="40"/>
      <c r="I50" s="40"/>
      <c r="J50" s="4">
        <f>PersonalCare20140[Costo Presupuestado]-PersonalCare20140[Costo Real]</f>
        <v>0</v>
      </c>
      <c r="K50" s="19"/>
      <c r="L50" s="19"/>
    </row>
    <row r="51" spans="2:12" x14ac:dyDescent="0.25">
      <c r="B51" s="21" t="s">
        <v>65</v>
      </c>
      <c r="C51" s="40">
        <v>0</v>
      </c>
      <c r="D51" s="40">
        <v>0</v>
      </c>
      <c r="E51" s="4">
        <f>Children18138[Costo Presupuestado]-Children18138[Costo Real]</f>
        <v>0</v>
      </c>
      <c r="F51" s="3"/>
      <c r="G51" s="34" t="s">
        <v>3</v>
      </c>
      <c r="H51" s="49">
        <f>SUBTOTAL(109,PersonalCare20140[Costo Presupuestado])</f>
        <v>1000</v>
      </c>
      <c r="I51" s="49">
        <f>SUBTOTAL(109,PersonalCare20140[Costo Real])</f>
        <v>600</v>
      </c>
      <c r="J51" s="49">
        <f>SUBTOTAL(109,PersonalCare20140[Diferencia])</f>
        <v>400</v>
      </c>
      <c r="K51" s="19"/>
      <c r="L51" s="19"/>
    </row>
    <row r="52" spans="2:12" x14ac:dyDescent="0.25">
      <c r="B52" s="21" t="s">
        <v>74</v>
      </c>
      <c r="C52" s="40">
        <v>0</v>
      </c>
      <c r="D52" s="40">
        <v>0</v>
      </c>
      <c r="E52" s="4">
        <f>Children18138[Costo Presupuestado]-Children18138[Costo Real]</f>
        <v>0</v>
      </c>
      <c r="F52" s="3"/>
      <c r="K52" s="19"/>
      <c r="L52" s="19"/>
    </row>
    <row r="53" spans="2:12" ht="38.25" x14ac:dyDescent="0.25">
      <c r="B53" s="21" t="s">
        <v>59</v>
      </c>
      <c r="C53" s="40">
        <v>0</v>
      </c>
      <c r="D53" s="40">
        <v>0</v>
      </c>
      <c r="E53" s="4">
        <f>Children18138[Costo Presupuestado]-Children18138[Costo Real]</f>
        <v>0</v>
      </c>
      <c r="F53" s="3"/>
      <c r="G53" s="22" t="s">
        <v>22</v>
      </c>
      <c r="H53" s="13" t="s">
        <v>18</v>
      </c>
      <c r="I53" s="13" t="s">
        <v>19</v>
      </c>
      <c r="J53" s="13" t="s">
        <v>8</v>
      </c>
      <c r="K53" s="19"/>
      <c r="L53" s="19"/>
    </row>
    <row r="54" spans="2:12" ht="25.5" x14ac:dyDescent="0.25">
      <c r="B54" s="21" t="s">
        <v>60</v>
      </c>
      <c r="C54" s="40">
        <v>0</v>
      </c>
      <c r="D54" s="40">
        <v>0</v>
      </c>
      <c r="E54" s="4">
        <f>Children18138[Costo Presupuestado]-Children18138[Costo Real]</f>
        <v>0</v>
      </c>
      <c r="F54" s="3"/>
      <c r="G54" s="3" t="s">
        <v>5</v>
      </c>
      <c r="H54" s="40"/>
      <c r="I54" s="40"/>
      <c r="J54" s="4">
        <f>Loans22142[Costo Presupuestado]-Loans22142[Costo Real]</f>
        <v>0</v>
      </c>
      <c r="K54" s="19"/>
      <c r="L54" s="19"/>
    </row>
    <row r="55" spans="2:12" ht="25.5" x14ac:dyDescent="0.25">
      <c r="B55" s="21" t="s">
        <v>4</v>
      </c>
      <c r="C55" s="40">
        <v>0</v>
      </c>
      <c r="D55" s="40">
        <v>0</v>
      </c>
      <c r="E55" s="4">
        <f>Children18138[Costo Presupuestado]-Children18138[Costo Real]</f>
        <v>0</v>
      </c>
      <c r="F55" s="3"/>
      <c r="G55" s="3" t="s">
        <v>68</v>
      </c>
      <c r="H55" s="40"/>
      <c r="I55" s="40"/>
      <c r="J55" s="4">
        <f>Loans22142[Costo Presupuestado]-Loans22142[Costo Real]</f>
        <v>0</v>
      </c>
      <c r="K55" s="19"/>
      <c r="L55" s="19"/>
    </row>
    <row r="56" spans="2:12" ht="25.5" x14ac:dyDescent="0.25">
      <c r="B56" s="21" t="s">
        <v>61</v>
      </c>
      <c r="C56" s="40">
        <v>0</v>
      </c>
      <c r="D56" s="40">
        <v>0</v>
      </c>
      <c r="E56" s="4">
        <f>Children18138[Costo Presupuestado]-Children18138[Costo Real]</f>
        <v>0</v>
      </c>
      <c r="F56" s="3"/>
      <c r="G56" s="3" t="s">
        <v>69</v>
      </c>
      <c r="H56" s="40"/>
      <c r="I56" s="40"/>
      <c r="J56" s="4">
        <f>Loans22142[Costo Presupuestado]-Loans22142[Costo Real]</f>
        <v>0</v>
      </c>
      <c r="K56" s="19"/>
      <c r="L56" s="19"/>
    </row>
    <row r="57" spans="2:12" x14ac:dyDescent="0.25">
      <c r="B57" s="21" t="s">
        <v>62</v>
      </c>
      <c r="C57" s="40">
        <v>0</v>
      </c>
      <c r="D57" s="40">
        <v>0</v>
      </c>
      <c r="E57" s="4">
        <f>Children18138[Costo Presupuestado]-Children18138[Costo Real]</f>
        <v>0</v>
      </c>
      <c r="F57" s="3"/>
      <c r="G57" s="3" t="s">
        <v>70</v>
      </c>
      <c r="H57" s="40"/>
      <c r="I57" s="40"/>
      <c r="J57" s="4">
        <f>Loans22142[Costo Presupuestado]-Loans22142[Costo Real]</f>
        <v>0</v>
      </c>
      <c r="K57" s="19"/>
      <c r="L57" s="19"/>
    </row>
    <row r="58" spans="2:12" x14ac:dyDescent="0.25">
      <c r="B58" s="21" t="s">
        <v>63</v>
      </c>
      <c r="C58" s="40">
        <v>0</v>
      </c>
      <c r="D58" s="40">
        <v>0</v>
      </c>
      <c r="E58" s="4">
        <f>Children18138[Costo Presupuestado]-Children18138[Costo Real]</f>
        <v>0</v>
      </c>
      <c r="F58" s="3"/>
      <c r="G58" s="3" t="s">
        <v>71</v>
      </c>
      <c r="H58" s="40"/>
      <c r="I58" s="40"/>
      <c r="J58" s="4">
        <f>Loans22142[Costo Presupuestado]-Loans22142[Costo Real]</f>
        <v>0</v>
      </c>
      <c r="K58" s="19"/>
      <c r="L58" s="19"/>
    </row>
    <row r="59" spans="2:12" x14ac:dyDescent="0.25">
      <c r="B59" s="21" t="s">
        <v>64</v>
      </c>
      <c r="C59" s="40">
        <v>0</v>
      </c>
      <c r="D59" s="40">
        <v>0</v>
      </c>
      <c r="E59" s="4">
        <f>Children18138[Costo Presupuestado]-Children18138[Costo Real]</f>
        <v>0</v>
      </c>
      <c r="F59" s="3"/>
      <c r="G59" s="3" t="s">
        <v>64</v>
      </c>
      <c r="H59" s="40"/>
      <c r="I59" s="40"/>
      <c r="J59" s="4">
        <f>Loans22142[Costo Presupuestado]-Loans22142[Costo Real]</f>
        <v>0</v>
      </c>
      <c r="K59" s="19"/>
      <c r="L59" s="19"/>
    </row>
    <row r="60" spans="2:12" x14ac:dyDescent="0.25">
      <c r="B60" s="34" t="s">
        <v>3</v>
      </c>
      <c r="C60" s="41">
        <f>SUBTOTAL(109,Children18138[Costo Presupuestado])</f>
        <v>0</v>
      </c>
      <c r="D60" s="41">
        <f>SUBTOTAL(109,Children18138[Costo Real])</f>
        <v>0</v>
      </c>
      <c r="E60" s="41">
        <f>SUBTOTAL(109,Children18138[Diferencia])</f>
        <v>0</v>
      </c>
      <c r="F60" s="3"/>
      <c r="G60" s="34" t="s">
        <v>3</v>
      </c>
      <c r="H60" s="49">
        <f>SUBTOTAL(109,Loans22142[Costo Presupuestado])</f>
        <v>0</v>
      </c>
      <c r="I60" s="49">
        <f>SUBTOTAL(109,Loans22142[Costo Real])</f>
        <v>0</v>
      </c>
      <c r="J60" s="49">
        <f>SUBTOTAL(109,Loans22142[Diferencia])</f>
        <v>0</v>
      </c>
      <c r="K60" s="19"/>
      <c r="L60" s="19"/>
    </row>
    <row r="61" spans="2:12" x14ac:dyDescent="0.25">
      <c r="F61" s="3"/>
      <c r="K61" s="19"/>
      <c r="L61" s="19"/>
    </row>
    <row r="62" spans="2:12" ht="25.5" x14ac:dyDescent="0.25">
      <c r="F62" s="3"/>
      <c r="G62" s="15" t="s">
        <v>21</v>
      </c>
      <c r="H62" s="13" t="s">
        <v>18</v>
      </c>
      <c r="I62" s="13" t="s">
        <v>19</v>
      </c>
      <c r="J62" s="13" t="s">
        <v>8</v>
      </c>
      <c r="K62" s="19"/>
      <c r="L62" s="19"/>
    </row>
    <row r="63" spans="2:12" x14ac:dyDescent="0.25">
      <c r="F63" s="3"/>
      <c r="G63" s="3" t="s">
        <v>66</v>
      </c>
      <c r="H63" s="40"/>
      <c r="I63" s="40"/>
      <c r="J63" s="4">
        <f>Legal25145[Costo Presupuestado]-Legal25145[Costo Real]</f>
        <v>0</v>
      </c>
      <c r="K63" s="19"/>
      <c r="L63" s="19"/>
    </row>
    <row r="64" spans="2:12" x14ac:dyDescent="0.25">
      <c r="F64" s="3"/>
      <c r="G64" s="3" t="s">
        <v>67</v>
      </c>
      <c r="H64" s="40"/>
      <c r="I64" s="40"/>
      <c r="J64" s="4">
        <f>Legal25145[Costo Presupuestado]-Legal25145[Costo Real]</f>
        <v>0</v>
      </c>
      <c r="K64" s="19"/>
      <c r="L64" s="19"/>
    </row>
    <row r="65" spans="6:12" x14ac:dyDescent="0.25">
      <c r="F65" s="3"/>
      <c r="G65" s="3" t="s">
        <v>64</v>
      </c>
      <c r="H65" s="40"/>
      <c r="I65" s="40"/>
      <c r="J65" s="4">
        <f>Legal25145[Costo Presupuestado]-Legal25145[Costo Real]</f>
        <v>0</v>
      </c>
      <c r="K65" s="19"/>
      <c r="L65" s="19"/>
    </row>
    <row r="66" spans="6:12" x14ac:dyDescent="0.25">
      <c r="F66" s="3"/>
      <c r="G66" s="34" t="s">
        <v>3</v>
      </c>
      <c r="H66" s="41">
        <f>SUBTOTAL(109,Legal25145[Costo Presupuestado])</f>
        <v>0</v>
      </c>
      <c r="I66" s="41">
        <f>SUBTOTAL(109,Legal25145[Costo Real])</f>
        <v>0</v>
      </c>
      <c r="J66" s="41">
        <f>SUBTOTAL(109,Legal25145[Diferencia])</f>
        <v>0</v>
      </c>
      <c r="K66" s="19"/>
      <c r="L66" s="19"/>
    </row>
    <row r="67" spans="6:12" x14ac:dyDescent="0.25">
      <c r="F67" s="3"/>
      <c r="K67" s="19"/>
      <c r="L67" s="19"/>
    </row>
    <row r="68" spans="6:12" x14ac:dyDescent="0.25">
      <c r="F68" s="3"/>
      <c r="K68" s="19"/>
      <c r="L68" s="19"/>
    </row>
    <row r="69" spans="6:12" x14ac:dyDescent="0.25">
      <c r="F69" s="3"/>
      <c r="K69" s="19"/>
      <c r="L69" s="19"/>
    </row>
    <row r="70" spans="6:12" x14ac:dyDescent="0.25">
      <c r="K70" s="19"/>
      <c r="L70" s="19"/>
    </row>
  </sheetData>
  <mergeCells count="6">
    <mergeCell ref="B1:H1"/>
    <mergeCell ref="B3:C3"/>
    <mergeCell ref="G3:H3"/>
    <mergeCell ref="G9:H9"/>
    <mergeCell ref="Q11:R11"/>
    <mergeCell ref="Q17:R17"/>
  </mergeCells>
  <conditionalFormatting sqref="J54:J59 J37:J41 J31:J33 J21:J27 E15:E24 E51:E59 E45:E47 E38:E41 H17 E28:E34 J63:J65 J45:J50 E7:E11">
    <cfRule type="iconSet" priority="1">
      <iconSet iconSet="3Arrows">
        <cfvo type="percentile" val="0"/>
        <cfvo type="num" val="-50"/>
        <cfvo type="num" val="50"/>
      </iconSet>
    </cfRule>
  </conditionalFormatting>
  <conditionalFormatting sqref="E15:E24">
    <cfRule type="iconSet" priority="2">
      <iconSet iconSet="4Arrows">
        <cfvo type="percent" val="0"/>
        <cfvo type="percent" val="25"/>
        <cfvo type="percent" val="50"/>
        <cfvo type="percent" val="75"/>
      </iconSet>
    </cfRule>
  </conditionalFormatting>
  <pageMargins left="0.7" right="0.7" top="0.75" bottom="0.75" header="0.3" footer="0.3"/>
  <drawing r:id="rId1"/>
  <tableParts count="1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0"/>
  <sheetViews>
    <sheetView workbookViewId="0">
      <selection activeCell="K1" sqref="K1"/>
    </sheetView>
  </sheetViews>
  <sheetFormatPr defaultRowHeight="15" x14ac:dyDescent="0.25"/>
  <cols>
    <col min="1" max="1" width="5" style="17" customWidth="1"/>
    <col min="2" max="2" width="17.42578125" style="17" customWidth="1"/>
    <col min="3" max="3" width="17.5703125" style="17" bestFit="1" customWidth="1"/>
    <col min="4" max="4" width="14" style="17" bestFit="1" customWidth="1"/>
    <col min="5" max="5" width="13" style="17" customWidth="1"/>
    <col min="6" max="6" width="5.5703125" style="17" customWidth="1"/>
    <col min="7" max="7" width="15.42578125" style="17" customWidth="1"/>
    <col min="8" max="8" width="14.7109375" style="17" bestFit="1" customWidth="1"/>
    <col min="9" max="9" width="12" style="17" bestFit="1" customWidth="1"/>
    <col min="10" max="10" width="10.85546875" style="17" bestFit="1" customWidth="1"/>
    <col min="11" max="16384" width="9.140625" style="17"/>
  </cols>
  <sheetData>
    <row r="1" spans="1:18" ht="62.25" customHeight="1" x14ac:dyDescent="0.3">
      <c r="A1" s="19"/>
      <c r="B1" s="51"/>
      <c r="C1" s="51"/>
      <c r="D1" s="51"/>
      <c r="E1" s="51"/>
      <c r="F1" s="51"/>
      <c r="G1" s="51"/>
      <c r="H1" s="51"/>
      <c r="I1" s="1"/>
      <c r="J1" s="1"/>
      <c r="K1" s="19"/>
      <c r="L1" s="19"/>
    </row>
    <row r="2" spans="1:18" ht="18.75" customHeight="1" thickBot="1" x14ac:dyDescent="0.3">
      <c r="A2" s="19"/>
      <c r="B2" s="38"/>
      <c r="C2" s="38"/>
      <c r="D2" s="38"/>
      <c r="E2" s="38"/>
      <c r="F2" s="38"/>
      <c r="G2" s="38"/>
      <c r="H2" s="38"/>
      <c r="I2" s="38"/>
      <c r="J2" s="38"/>
      <c r="K2" s="19"/>
      <c r="L2" s="19"/>
    </row>
    <row r="3" spans="1:18" ht="26.25" thickBot="1" x14ac:dyDescent="0.3">
      <c r="B3" s="52" t="s">
        <v>6</v>
      </c>
      <c r="C3" s="53"/>
      <c r="D3" s="23" t="s">
        <v>7</v>
      </c>
      <c r="E3" s="24" t="s">
        <v>8</v>
      </c>
      <c r="F3" s="2"/>
      <c r="G3" s="54" t="s">
        <v>9</v>
      </c>
      <c r="H3" s="55"/>
      <c r="I3" s="2"/>
      <c r="J3" s="2"/>
      <c r="K3" s="19"/>
      <c r="L3" s="19"/>
      <c r="Q3" s="19"/>
      <c r="R3" s="19"/>
    </row>
    <row r="4" spans="1:18" ht="15.75" thickBot="1" x14ac:dyDescent="0.3">
      <c r="B4" s="25"/>
      <c r="C4" s="50">
        <f>Housing1126385062748698[[#Totals],[Costo Presupuestado]]+Transportation1527395163758799[[#Totals],[Costo Presupuestado]]+Insurance16284052647688100[[#Totals],[Costo Presupuestado]]+Food17294153657789101[[#Totals],[Costo Presupuestado]]+Children18304254667890102[[#Totals],[Costo Presupuestado]]+Legal25374961738597109[[#Totals],[Costo Presupuestado]]+Savings23354759718395107[[#Totals],[Costo Presupuestado]]+Loans22344658708294106[[#Totals],[Costo Presupuestado]]+Entertainment21334557698193105[[#Totals],[Costo Presupuestado]]+PersonalCare20324456688092104[[#Totals],[Costo Presupuestado]]+Pets19314355677991103[[#Totals],[Costo Presupuestado]]+Gifts24364860728496108[[#Totals],[Costo Presupuestado]]</f>
        <v>44250</v>
      </c>
      <c r="D4" s="50">
        <f>Housing1126385062748698[[#Totals],[Costo Real]]+Transportation1527395163758799[[#Totals],[Costo Real]]+Insurance16284052647688100[[#Totals],[Costo Real]]+Food17294153657789101[[#Totals],[Costo Real]]+Children18304254667890102[[#Totals],[Costo Real]]+Legal25374961738597109[[#Totals],[Costo Real]]+Savings23354759718395107[[#Totals],[Costo Real]]+Loans22344658708294106[[#Totals],[Costo Real]]+Entertainment21334557698193105[[#Totals],[Costo Real]]+PersonalCare20324456688092104[[#Totals],[Costo Real]]+Pets19314355677991103[[#Totals],[Costo Real]]+Gifts24364860728496108[[#Totals],[Costo Real]]</f>
        <v>39844</v>
      </c>
      <c r="E4" s="45">
        <f>Housing1126385062748698[[#Totals],[Diferencia]]+Transportation1527395163758799[[#Totals],[Diferencia]]+Insurance16284052647688100[[#Totals],[Diferencia]]+Food17294153657789101[[#Totals],[Diferencia]]+Children18304254667890102[[#Totals],[Diferencia]]+Legal25374961738597109[[#Totals],[Diferencia]]+Savings23354759718395107[[#Totals],[Diferencia]]+Loans22344658708294106[[#Totals],[Diferencia]]+Entertainment21334557698193105[[#Totals],[Diferencia]]+PersonalCare20324456688092104[[#Totals],[Diferencia]]+Pets19314355677991103[[#Totals],[Diferencia]]+Gifts24364860728496108[[#Totals],[Diferencia]]</f>
        <v>4406</v>
      </c>
      <c r="F4" s="2"/>
      <c r="G4" s="39" t="s">
        <v>10</v>
      </c>
      <c r="H4" s="48">
        <v>50000</v>
      </c>
      <c r="I4" s="2"/>
      <c r="J4" s="2"/>
      <c r="K4" s="19"/>
      <c r="L4" s="19"/>
      <c r="Q4" s="19"/>
      <c r="R4" s="19"/>
    </row>
    <row r="5" spans="1:18" ht="25.5" x14ac:dyDescent="0.25">
      <c r="F5" s="3"/>
      <c r="G5" s="26" t="s">
        <v>11</v>
      </c>
      <c r="H5" s="46">
        <v>5000</v>
      </c>
      <c r="I5" s="3"/>
      <c r="J5" s="3"/>
      <c r="K5" s="19"/>
      <c r="L5" s="19"/>
      <c r="Q5" s="19"/>
      <c r="R5" s="19"/>
    </row>
    <row r="6" spans="1:18" ht="25.5" x14ac:dyDescent="0.25">
      <c r="B6" s="33" t="s">
        <v>20</v>
      </c>
      <c r="C6" s="13" t="s">
        <v>18</v>
      </c>
      <c r="D6" s="13" t="s">
        <v>19</v>
      </c>
      <c r="E6" s="13" t="s">
        <v>8</v>
      </c>
      <c r="F6" s="3"/>
      <c r="G6" s="26" t="s">
        <v>12</v>
      </c>
      <c r="H6" s="46">
        <v>0</v>
      </c>
      <c r="I6" s="3"/>
      <c r="J6" s="3"/>
      <c r="K6" s="19"/>
      <c r="L6" s="19"/>
      <c r="Q6" s="19"/>
      <c r="R6" s="19"/>
    </row>
    <row r="7" spans="1:18" ht="26.25" thickBot="1" x14ac:dyDescent="0.3">
      <c r="B7" s="3" t="s">
        <v>77</v>
      </c>
      <c r="C7" s="40">
        <v>5000</v>
      </c>
      <c r="D7" s="40">
        <v>5000</v>
      </c>
      <c r="E7" s="40">
        <f>Savings23354759718395107[Costo Presupuestado]-Savings23354759718395107[Costo Real]</f>
        <v>0</v>
      </c>
      <c r="F7" s="3"/>
      <c r="G7" s="27" t="s">
        <v>13</v>
      </c>
      <c r="H7" s="47">
        <f>SUM(H4:H6)</f>
        <v>55000</v>
      </c>
      <c r="I7" s="3"/>
      <c r="J7" s="3"/>
      <c r="K7" s="19"/>
      <c r="L7" s="19"/>
      <c r="Q7" s="19"/>
      <c r="R7" s="19"/>
    </row>
    <row r="8" spans="1:18" ht="15.75" thickBot="1" x14ac:dyDescent="0.3">
      <c r="B8" s="3" t="s">
        <v>78</v>
      </c>
      <c r="C8" s="40"/>
      <c r="D8" s="40"/>
      <c r="E8" s="40">
        <f>Savings23354759718395107[Costo Presupuestado]-Savings23354759718395107[Costo Real]</f>
        <v>0</v>
      </c>
      <c r="F8" s="3"/>
      <c r="G8" s="5"/>
      <c r="H8" s="6"/>
      <c r="I8" s="18"/>
      <c r="J8" s="18"/>
      <c r="K8" s="19"/>
      <c r="L8" s="19"/>
      <c r="Q8" s="19"/>
      <c r="R8" s="19"/>
    </row>
    <row r="9" spans="1:18" ht="25.5" x14ac:dyDescent="0.25">
      <c r="B9" s="3" t="s">
        <v>81</v>
      </c>
      <c r="C9" s="40"/>
      <c r="D9" s="40"/>
      <c r="E9" s="40">
        <f>Savings23354759718395107[Costo Presupuestado]-Savings23354759718395107[Costo Real]</f>
        <v>0</v>
      </c>
      <c r="F9" s="3"/>
      <c r="G9" s="56" t="s">
        <v>14</v>
      </c>
      <c r="H9" s="57"/>
      <c r="I9" s="3"/>
      <c r="J9" s="3"/>
      <c r="K9" s="19" t="s">
        <v>0</v>
      </c>
      <c r="L9" s="19"/>
      <c r="Q9" s="19"/>
      <c r="R9" s="19"/>
    </row>
    <row r="10" spans="1:18" x14ac:dyDescent="0.25">
      <c r="B10" s="36" t="s">
        <v>80</v>
      </c>
      <c r="C10" s="42"/>
      <c r="D10" s="42"/>
      <c r="E10" s="40">
        <f>Savings23354759718395107[Costo Presupuestado]-Savings23354759718395107[Costo Real]</f>
        <v>0</v>
      </c>
      <c r="F10" s="3"/>
      <c r="G10" s="26" t="s">
        <v>10</v>
      </c>
      <c r="H10" s="46">
        <v>48000</v>
      </c>
      <c r="I10" s="3"/>
      <c r="J10" s="3"/>
      <c r="K10" s="19"/>
      <c r="L10" s="19"/>
      <c r="Q10" s="19"/>
      <c r="R10" s="19"/>
    </row>
    <row r="11" spans="1:18" ht="25.5" x14ac:dyDescent="0.25">
      <c r="B11" s="3" t="s">
        <v>79</v>
      </c>
      <c r="C11" s="40"/>
      <c r="D11" s="40"/>
      <c r="E11" s="40">
        <f>Savings23354759718395107[Costo Presupuestado]-Savings23354759718395107[Costo Real]</f>
        <v>0</v>
      </c>
      <c r="F11" s="3"/>
      <c r="G11" s="26" t="s">
        <v>11</v>
      </c>
      <c r="H11" s="46">
        <v>4500</v>
      </c>
      <c r="I11" s="3"/>
      <c r="J11" s="3"/>
      <c r="K11" s="19"/>
      <c r="L11" s="19"/>
      <c r="Q11" s="58"/>
      <c r="R11" s="58"/>
    </row>
    <row r="12" spans="1:18" x14ac:dyDescent="0.25">
      <c r="B12" s="34" t="s">
        <v>3</v>
      </c>
      <c r="C12" s="41">
        <f>SUBTOTAL(109,Savings23354759718395107[Costo Presupuestado])</f>
        <v>5000</v>
      </c>
      <c r="D12" s="41">
        <f>SUBTOTAL(109,Savings23354759718395107[Costo Real])</f>
        <v>5000</v>
      </c>
      <c r="E12" s="41">
        <f>SUBTOTAL(109,Savings23354759718395107[Diferencia])</f>
        <v>0</v>
      </c>
      <c r="F12" s="3"/>
      <c r="G12" s="26" t="s">
        <v>12</v>
      </c>
      <c r="H12" s="46">
        <v>0</v>
      </c>
      <c r="I12" s="3"/>
      <c r="J12" s="3"/>
      <c r="K12" s="19"/>
      <c r="L12" s="19"/>
      <c r="Q12" s="7"/>
      <c r="R12" s="8"/>
    </row>
    <row r="13" spans="1:18" ht="26.25" thickBot="1" x14ac:dyDescent="0.3">
      <c r="F13" s="3"/>
      <c r="G13" s="27" t="s">
        <v>13</v>
      </c>
      <c r="H13" s="47">
        <f>SUM(H10:H12)</f>
        <v>52500</v>
      </c>
      <c r="I13" s="3"/>
      <c r="J13" s="3"/>
      <c r="K13" s="19"/>
      <c r="L13" s="19"/>
      <c r="Q13" s="7"/>
      <c r="R13" s="8"/>
    </row>
    <row r="14" spans="1:18" ht="26.25" thickBot="1" x14ac:dyDescent="0.3">
      <c r="B14" s="12" t="s">
        <v>17</v>
      </c>
      <c r="C14" s="13" t="s">
        <v>18</v>
      </c>
      <c r="D14" s="13" t="s">
        <v>19</v>
      </c>
      <c r="E14" s="13" t="s">
        <v>8</v>
      </c>
      <c r="F14" s="3"/>
      <c r="G14" s="2"/>
      <c r="H14" s="2"/>
      <c r="I14" s="3"/>
      <c r="J14" s="3"/>
      <c r="K14" s="19"/>
      <c r="L14" s="19"/>
      <c r="Q14" s="7"/>
      <c r="R14" s="8"/>
    </row>
    <row r="15" spans="1:18" ht="25.5" x14ac:dyDescent="0.25">
      <c r="B15" s="3" t="s">
        <v>36</v>
      </c>
      <c r="C15" s="40">
        <v>16000</v>
      </c>
      <c r="D15" s="40">
        <v>16000</v>
      </c>
      <c r="E15" s="4">
        <f>Housing1126385062748698[Costo Presupuestado]-Housing1126385062748698[Costo Real]</f>
        <v>0</v>
      </c>
      <c r="F15" s="3"/>
      <c r="G15" s="29" t="s">
        <v>15</v>
      </c>
      <c r="H15" s="43">
        <f>SUM(H7-C4)</f>
        <v>10750</v>
      </c>
      <c r="I15" s="3"/>
      <c r="J15" s="3"/>
      <c r="K15" s="19"/>
      <c r="L15" s="19"/>
      <c r="Q15" s="7"/>
      <c r="R15" s="8"/>
    </row>
    <row r="16" spans="1:18" ht="25.5" customHeight="1" x14ac:dyDescent="0.25">
      <c r="B16" s="3" t="s">
        <v>37</v>
      </c>
      <c r="C16" s="40">
        <v>0</v>
      </c>
      <c r="D16" s="40">
        <v>0</v>
      </c>
      <c r="E16" s="4">
        <f>Housing1126385062748698[Costo Presupuestado]-Housing1126385062748698[Costo Real]</f>
        <v>0</v>
      </c>
      <c r="F16" s="3"/>
      <c r="G16" s="30" t="s">
        <v>16</v>
      </c>
      <c r="H16" s="44">
        <f>SUM(H13-D4)</f>
        <v>12656</v>
      </c>
      <c r="I16" s="3"/>
      <c r="J16" s="3"/>
      <c r="K16" s="19"/>
      <c r="L16" s="19"/>
      <c r="Q16" s="10"/>
      <c r="R16" s="2"/>
    </row>
    <row r="17" spans="2:18" ht="15.75" thickBot="1" x14ac:dyDescent="0.3">
      <c r="B17" s="3" t="s">
        <v>38</v>
      </c>
      <c r="C17" s="40">
        <v>0</v>
      </c>
      <c r="D17" s="40">
        <v>0</v>
      </c>
      <c r="E17" s="4">
        <f>Housing1126385062748698[Costo Presupuestado]-Housing1126385062748698[Costo Real]</f>
        <v>0</v>
      </c>
      <c r="F17" s="3"/>
      <c r="G17" s="31" t="s">
        <v>8</v>
      </c>
      <c r="H17" s="45">
        <f>SUM(H16-H15)</f>
        <v>1906</v>
      </c>
      <c r="I17" s="3"/>
      <c r="J17" s="3"/>
      <c r="K17" s="19"/>
      <c r="L17" s="19"/>
      <c r="Q17" s="58"/>
      <c r="R17" s="58"/>
    </row>
    <row r="18" spans="2:18" x14ac:dyDescent="0.25">
      <c r="B18" s="3" t="s">
        <v>31</v>
      </c>
      <c r="C18" s="40">
        <v>200</v>
      </c>
      <c r="D18" s="40">
        <v>200</v>
      </c>
      <c r="E18" s="4">
        <f>Housing1126385062748698[Costo Presupuestado]-Housing1126385062748698[Costo Real]</f>
        <v>0</v>
      </c>
      <c r="F18" s="3"/>
      <c r="G18" s="3"/>
      <c r="H18" s="3"/>
      <c r="I18" s="3"/>
      <c r="J18" s="3"/>
      <c r="K18" s="19"/>
      <c r="L18" s="19"/>
      <c r="Q18" s="7"/>
      <c r="R18" s="8"/>
    </row>
    <row r="19" spans="2:18" x14ac:dyDescent="0.25">
      <c r="B19" s="3" t="s">
        <v>32</v>
      </c>
      <c r="C19" s="40">
        <v>100</v>
      </c>
      <c r="D19" s="40">
        <v>100</v>
      </c>
      <c r="E19" s="4">
        <f>Housing1126385062748698[Costo Presupuestado]-Housing1126385062748698[Costo Real]</f>
        <v>0</v>
      </c>
      <c r="F19" s="3"/>
      <c r="G19" s="18"/>
      <c r="H19" s="18"/>
      <c r="I19" s="18"/>
      <c r="J19" s="18"/>
      <c r="K19" s="19"/>
      <c r="L19" s="19"/>
      <c r="Q19" s="7"/>
      <c r="R19" s="8"/>
    </row>
    <row r="20" spans="2:18" ht="25.5" x14ac:dyDescent="0.25">
      <c r="B20" s="3" t="s">
        <v>33</v>
      </c>
      <c r="C20" s="40">
        <v>0</v>
      </c>
      <c r="D20" s="40">
        <v>0</v>
      </c>
      <c r="E20" s="4">
        <f>Housing1126385062748698[Costo Presupuestado]-Housing1126385062748698[Costo Real]</f>
        <v>0</v>
      </c>
      <c r="F20" s="3"/>
      <c r="G20" s="14" t="s">
        <v>29</v>
      </c>
      <c r="H20" s="13" t="s">
        <v>18</v>
      </c>
      <c r="I20" s="13" t="s">
        <v>19</v>
      </c>
      <c r="J20" s="13" t="s">
        <v>8</v>
      </c>
      <c r="K20" s="19"/>
      <c r="L20" s="19"/>
      <c r="Q20" s="7"/>
      <c r="R20" s="8"/>
    </row>
    <row r="21" spans="2:18" ht="25.5" x14ac:dyDescent="0.25">
      <c r="B21" s="3" t="s">
        <v>1</v>
      </c>
      <c r="C21" s="40">
        <v>1000</v>
      </c>
      <c r="D21" s="40">
        <v>900</v>
      </c>
      <c r="E21" s="4">
        <f>Housing1126385062748698[Costo Presupuestado]-Housing1126385062748698[Costo Real]</f>
        <v>100</v>
      </c>
      <c r="F21" s="3"/>
      <c r="G21" s="3" t="s">
        <v>87</v>
      </c>
      <c r="H21" s="40">
        <v>0</v>
      </c>
      <c r="I21" s="40">
        <v>0</v>
      </c>
      <c r="J21" s="4">
        <f>Entertainment21334557698193105[Costo Presupuestado]-Entertainment21334557698193105[Costo Real]</f>
        <v>0</v>
      </c>
      <c r="K21" s="19"/>
      <c r="L21" s="19"/>
      <c r="Q21" s="7"/>
      <c r="R21" s="8"/>
    </row>
    <row r="22" spans="2:18" ht="25.5" customHeight="1" x14ac:dyDescent="0.25">
      <c r="B22" s="3" t="s">
        <v>2</v>
      </c>
      <c r="C22" s="40">
        <v>450</v>
      </c>
      <c r="D22" s="40">
        <v>400</v>
      </c>
      <c r="E22" s="4">
        <f>Housing1126385062748698[Costo Presupuestado]-Housing1126385062748698[Costo Real]</f>
        <v>50</v>
      </c>
      <c r="F22" s="3"/>
      <c r="G22" s="3" t="s">
        <v>86</v>
      </c>
      <c r="H22" s="40">
        <v>5000</v>
      </c>
      <c r="I22" s="40">
        <v>4000</v>
      </c>
      <c r="J22" s="4">
        <f>Entertainment21334557698193105[Costo Presupuestado]-Entertainment21334557698193105[Costo Real]</f>
        <v>1000</v>
      </c>
      <c r="K22" s="19"/>
      <c r="L22" s="19"/>
      <c r="Q22" s="2"/>
      <c r="R22" s="2"/>
    </row>
    <row r="23" spans="2:18" x14ac:dyDescent="0.25">
      <c r="B23" s="3" t="s">
        <v>34</v>
      </c>
      <c r="C23" s="40">
        <v>1800</v>
      </c>
      <c r="D23" s="40">
        <v>1600</v>
      </c>
      <c r="E23" s="9">
        <f>Housing1126385062748698[Costo Presupuestado]-Housing1126385062748698[Costo Real]</f>
        <v>200</v>
      </c>
      <c r="F23" s="3"/>
      <c r="G23" s="3" t="s">
        <v>82</v>
      </c>
      <c r="H23" s="40">
        <v>700</v>
      </c>
      <c r="I23" s="40">
        <v>1000</v>
      </c>
      <c r="J23" s="4">
        <f>Entertainment21334557698193105[Costo Presupuestado]-Entertainment21334557698193105[Costo Real]</f>
        <v>-300</v>
      </c>
      <c r="K23" s="19"/>
      <c r="L23" s="19"/>
      <c r="Q23" s="20"/>
      <c r="R23" s="11"/>
    </row>
    <row r="24" spans="2:18" x14ac:dyDescent="0.25">
      <c r="B24" s="3" t="s">
        <v>35</v>
      </c>
      <c r="C24" s="40">
        <v>500</v>
      </c>
      <c r="D24" s="40">
        <v>44</v>
      </c>
      <c r="E24" s="4">
        <f>Housing1126385062748698[Costo Presupuestado]-Housing1126385062748698[Costo Real]</f>
        <v>456</v>
      </c>
      <c r="F24" s="3"/>
      <c r="G24" s="3" t="s">
        <v>83</v>
      </c>
      <c r="H24" s="40">
        <v>0</v>
      </c>
      <c r="I24" s="40">
        <v>0</v>
      </c>
      <c r="J24" s="4">
        <f>Entertainment21334557698193105[Costo Presupuestado]-Entertainment21334557698193105[Costo Real]</f>
        <v>0</v>
      </c>
      <c r="K24" s="19"/>
      <c r="L24" s="19"/>
    </row>
    <row r="25" spans="2:18" ht="25.5" x14ac:dyDescent="0.25">
      <c r="B25" s="21" t="s">
        <v>3</v>
      </c>
      <c r="C25" s="40">
        <f>SUBTOTAL(109,Housing1126385062748698[Costo Presupuestado])</f>
        <v>20050</v>
      </c>
      <c r="D25" s="40">
        <f>SUBTOTAL(109,Housing1126385062748698[Costo Real])</f>
        <v>19244</v>
      </c>
      <c r="E25" s="40">
        <f>SUBTOTAL(109,Housing1126385062748698[Diferencia])</f>
        <v>806</v>
      </c>
      <c r="F25" s="3"/>
      <c r="G25" s="3" t="s">
        <v>84</v>
      </c>
      <c r="H25" s="40">
        <v>0</v>
      </c>
      <c r="I25" s="40">
        <v>0</v>
      </c>
      <c r="J25" s="4">
        <f>Entertainment21334557698193105[Costo Presupuestado]-Entertainment21334557698193105[Costo Real]</f>
        <v>0</v>
      </c>
      <c r="K25" s="19"/>
      <c r="L25" s="19"/>
    </row>
    <row r="26" spans="2:18" x14ac:dyDescent="0.25">
      <c r="B26" s="37"/>
      <c r="C26" s="37"/>
      <c r="D26" s="37"/>
      <c r="E26" s="37"/>
      <c r="F26" s="3"/>
      <c r="G26" s="3" t="s">
        <v>85</v>
      </c>
      <c r="H26" s="40">
        <v>0</v>
      </c>
      <c r="I26" s="40">
        <v>0</v>
      </c>
      <c r="J26" s="4">
        <f>Entertainment21334557698193105[Costo Presupuestado]-Entertainment21334557698193105[Costo Real]</f>
        <v>0</v>
      </c>
      <c r="K26" s="19"/>
      <c r="L26" s="19"/>
    </row>
    <row r="27" spans="2:18" ht="25.5" x14ac:dyDescent="0.25">
      <c r="B27" s="28" t="s">
        <v>30</v>
      </c>
      <c r="C27" s="13" t="s">
        <v>18</v>
      </c>
      <c r="D27" s="13" t="s">
        <v>19</v>
      </c>
      <c r="E27" s="13" t="s">
        <v>8</v>
      </c>
      <c r="F27" s="3"/>
      <c r="G27" s="3" t="s">
        <v>64</v>
      </c>
      <c r="H27" s="40"/>
      <c r="I27" s="40"/>
      <c r="J27" s="4">
        <f>Entertainment21334557698193105[Costo Presupuestado]-Entertainment21334557698193105[Costo Real]</f>
        <v>0</v>
      </c>
      <c r="K27" s="19"/>
      <c r="L27" s="19"/>
    </row>
    <row r="28" spans="2:18" ht="25.5" x14ac:dyDescent="0.25">
      <c r="B28" s="3" t="s">
        <v>43</v>
      </c>
      <c r="C28" s="40">
        <v>0</v>
      </c>
      <c r="D28" s="40">
        <v>0</v>
      </c>
      <c r="E28" s="4">
        <f>Transportation1527395163758799[Costo Presupuestado]-Transportation1527395163758799[Costo Real]</f>
        <v>0</v>
      </c>
      <c r="F28" s="3"/>
      <c r="G28" s="34" t="s">
        <v>3</v>
      </c>
      <c r="H28" s="35">
        <f>SUBTOTAL(109,Entertainment21334557698193105[Costo Presupuestado])</f>
        <v>5700</v>
      </c>
      <c r="I28" s="35">
        <f>SUBTOTAL(109,Entertainment21334557698193105[Costo Real])</f>
        <v>5000</v>
      </c>
      <c r="J28" s="35">
        <f>SUBTOTAL(109,Entertainment21334557698193105[Diferencia])</f>
        <v>700</v>
      </c>
      <c r="K28" s="19"/>
      <c r="L28" s="19"/>
    </row>
    <row r="29" spans="2:18" ht="25.5" x14ac:dyDescent="0.25">
      <c r="B29" s="3" t="s">
        <v>44</v>
      </c>
      <c r="C29" s="40">
        <v>0</v>
      </c>
      <c r="D29" s="40">
        <v>0</v>
      </c>
      <c r="E29" s="4">
        <f>Transportation1527395163758799[Costo Presupuestado]-Transportation1527395163758799[Costo Real]</f>
        <v>0</v>
      </c>
      <c r="F29" s="3"/>
      <c r="K29" s="19"/>
      <c r="L29" s="19"/>
    </row>
    <row r="30" spans="2:18" ht="25.5" x14ac:dyDescent="0.25">
      <c r="B30" s="3" t="s">
        <v>39</v>
      </c>
      <c r="C30" s="40">
        <v>0</v>
      </c>
      <c r="D30" s="40">
        <v>0</v>
      </c>
      <c r="E30" s="4">
        <f>Transportation1527395163758799[Costo Presupuestado]-Transportation1527395163758799[Costo Real]</f>
        <v>0</v>
      </c>
      <c r="F30" s="3"/>
      <c r="G30" s="15" t="s">
        <v>28</v>
      </c>
      <c r="H30" s="13" t="s">
        <v>18</v>
      </c>
      <c r="I30" s="13" t="s">
        <v>19</v>
      </c>
      <c r="J30" s="13" t="s">
        <v>8</v>
      </c>
      <c r="K30" s="19"/>
      <c r="L30" s="19"/>
    </row>
    <row r="31" spans="2:18" x14ac:dyDescent="0.25">
      <c r="B31" s="3" t="s">
        <v>40</v>
      </c>
      <c r="C31" s="40">
        <v>6000</v>
      </c>
      <c r="D31" s="40">
        <v>4000</v>
      </c>
      <c r="E31" s="4">
        <f>Transportation1527395163758799[Costo Presupuestado]-Transportation1527395163758799[Costo Real]</f>
        <v>2000</v>
      </c>
      <c r="F31" s="3"/>
      <c r="G31" s="3" t="s">
        <v>49</v>
      </c>
      <c r="H31" s="40"/>
      <c r="I31" s="40">
        <v>0</v>
      </c>
      <c r="J31" s="4">
        <f>Gifts24364860728496108[Costo Presupuestado]-Gifts24364860728496108[Costo Real]</f>
        <v>0</v>
      </c>
      <c r="K31" s="19"/>
      <c r="L31" s="19"/>
    </row>
    <row r="32" spans="2:18" x14ac:dyDescent="0.25">
      <c r="B32" s="3" t="s">
        <v>41</v>
      </c>
      <c r="C32" s="40">
        <v>0</v>
      </c>
      <c r="D32" s="40">
        <v>0</v>
      </c>
      <c r="E32" s="4">
        <f>Transportation1527395163758799[Costo Presupuestado]-Transportation1527395163758799[Costo Real]</f>
        <v>0</v>
      </c>
      <c r="F32" s="3"/>
      <c r="G32" s="3" t="s">
        <v>50</v>
      </c>
      <c r="H32" s="40"/>
      <c r="I32" s="40"/>
      <c r="J32" s="4">
        <f>Gifts24364860728496108[Costo Presupuestado]-Gifts24364860728496108[Costo Real]</f>
        <v>0</v>
      </c>
      <c r="K32" s="19"/>
      <c r="L32" s="19"/>
    </row>
    <row r="33" spans="2:12" x14ac:dyDescent="0.25">
      <c r="B33" s="3" t="s">
        <v>42</v>
      </c>
      <c r="C33" s="40">
        <v>0</v>
      </c>
      <c r="D33" s="40">
        <v>0</v>
      </c>
      <c r="E33" s="4">
        <f>Transportation1527395163758799[Costo Presupuestado]-Transportation1527395163758799[Costo Real]</f>
        <v>0</v>
      </c>
      <c r="F33" s="3"/>
      <c r="G33" s="3" t="s">
        <v>51</v>
      </c>
      <c r="H33" s="40"/>
      <c r="I33" s="40"/>
      <c r="J33" s="4">
        <f>Gifts24364860728496108[Costo Presupuestado]-Gifts24364860728496108[Costo Real]</f>
        <v>0</v>
      </c>
      <c r="K33" s="19"/>
      <c r="L33" s="19"/>
    </row>
    <row r="34" spans="2:12" x14ac:dyDescent="0.25">
      <c r="B34" s="3" t="s">
        <v>38</v>
      </c>
      <c r="C34" s="40">
        <v>0</v>
      </c>
      <c r="D34" s="40">
        <v>0</v>
      </c>
      <c r="E34" s="4">
        <f>Transportation1527395163758799[Costo Presupuestado]-Transportation1527395163758799[Costo Real]</f>
        <v>0</v>
      </c>
      <c r="F34" s="3"/>
      <c r="G34" s="34" t="s">
        <v>3</v>
      </c>
      <c r="H34" s="41">
        <f>SUBTOTAL(109,Gifts24364860728496108[Costo Presupuestado])</f>
        <v>0</v>
      </c>
      <c r="I34" s="41">
        <f>SUBTOTAL(109,Gifts24364860728496108[Costo Real])</f>
        <v>0</v>
      </c>
      <c r="J34" s="41">
        <f>SUBTOTAL(109,Gifts24364860728496108[Diferencia])</f>
        <v>0</v>
      </c>
      <c r="K34" s="19"/>
      <c r="L34" s="19"/>
    </row>
    <row r="35" spans="2:12" x14ac:dyDescent="0.25">
      <c r="B35" s="34" t="s">
        <v>3</v>
      </c>
      <c r="C35" s="41">
        <f>SUBTOTAL(109,Transportation1527395163758799[Costo Presupuestado])</f>
        <v>6000</v>
      </c>
      <c r="D35" s="41">
        <f>SUBTOTAL(109,Transportation1527395163758799[Costo Real])</f>
        <v>4000</v>
      </c>
      <c r="E35" s="41">
        <f>SUBTOTAL(109,Transportation1527395163758799[Diferencia])</f>
        <v>2000</v>
      </c>
      <c r="F35" s="3"/>
      <c r="K35" s="19"/>
      <c r="L35" s="19"/>
    </row>
    <row r="36" spans="2:12" ht="25.5" x14ac:dyDescent="0.25">
      <c r="B36" s="37"/>
      <c r="C36" s="37"/>
      <c r="D36" s="37"/>
      <c r="E36" s="37"/>
      <c r="F36" s="3"/>
      <c r="G36" s="32" t="s">
        <v>25</v>
      </c>
      <c r="H36" s="13" t="s">
        <v>18</v>
      </c>
      <c r="I36" s="13" t="s">
        <v>19</v>
      </c>
      <c r="J36" s="13" t="s">
        <v>8</v>
      </c>
      <c r="K36" s="19"/>
      <c r="L36" s="19"/>
    </row>
    <row r="37" spans="2:12" ht="25.5" x14ac:dyDescent="0.25">
      <c r="B37" s="16" t="s">
        <v>27</v>
      </c>
      <c r="C37" s="13" t="s">
        <v>18</v>
      </c>
      <c r="D37" s="13" t="s">
        <v>19</v>
      </c>
      <c r="E37" s="13" t="s">
        <v>8</v>
      </c>
      <c r="F37" s="3"/>
      <c r="G37" s="3" t="s">
        <v>52</v>
      </c>
      <c r="H37" s="40"/>
      <c r="I37" s="40"/>
      <c r="J37" s="4">
        <f>Pets19314355677991103[Costo Presupuestado]-Pets19314355677991103[Costo Real]</f>
        <v>0</v>
      </c>
      <c r="K37" s="19"/>
      <c r="L37" s="19"/>
    </row>
    <row r="38" spans="2:12" x14ac:dyDescent="0.25">
      <c r="B38" s="3" t="s">
        <v>45</v>
      </c>
      <c r="C38" s="40">
        <v>0</v>
      </c>
      <c r="D38" s="40">
        <v>0</v>
      </c>
      <c r="E38" s="4">
        <f>Insurance16284052647688100[Costo Presupuestado]-Insurance16284052647688100[Costo Real]</f>
        <v>0</v>
      </c>
      <c r="F38" s="3"/>
      <c r="G38" s="3" t="s">
        <v>53</v>
      </c>
      <c r="H38" s="40"/>
      <c r="I38" s="40"/>
      <c r="J38" s="4">
        <f>Pets19314355677991103[Costo Presupuestado]-Pets19314355677991103[Costo Real]</f>
        <v>0</v>
      </c>
      <c r="K38" s="19"/>
      <c r="L38" s="19"/>
    </row>
    <row r="39" spans="2:12" x14ac:dyDescent="0.25">
      <c r="B39" s="3" t="s">
        <v>46</v>
      </c>
      <c r="C39" s="40">
        <v>500</v>
      </c>
      <c r="D39" s="40">
        <v>500</v>
      </c>
      <c r="E39" s="4">
        <f>Insurance16284052647688100[Costo Presupuestado]-Insurance16284052647688100[Costo Real]</f>
        <v>0</v>
      </c>
      <c r="F39" s="3"/>
      <c r="G39" s="3" t="s">
        <v>54</v>
      </c>
      <c r="H39" s="40"/>
      <c r="I39" s="40"/>
      <c r="J39" s="4">
        <f>Pets19314355677991103[Costo Presupuestado]-Pets19314355677991103[Costo Real]</f>
        <v>0</v>
      </c>
      <c r="K39" s="19"/>
      <c r="L39" s="19"/>
    </row>
    <row r="40" spans="2:12" x14ac:dyDescent="0.25">
      <c r="B40" s="3" t="s">
        <v>47</v>
      </c>
      <c r="C40" s="40">
        <v>0</v>
      </c>
      <c r="D40" s="40">
        <v>0</v>
      </c>
      <c r="E40" s="4">
        <f>Insurance16284052647688100[Costo Presupuestado]-Insurance16284052647688100[Costo Real]</f>
        <v>0</v>
      </c>
      <c r="F40" s="3"/>
      <c r="G40" s="3" t="s">
        <v>55</v>
      </c>
      <c r="H40" s="40"/>
      <c r="I40" s="40"/>
      <c r="J40" s="4">
        <f>Pets19314355677991103[Costo Presupuestado]-Pets19314355677991103[Costo Real]</f>
        <v>0</v>
      </c>
      <c r="K40" s="19"/>
      <c r="L40" s="19"/>
    </row>
    <row r="41" spans="2:12" x14ac:dyDescent="0.25">
      <c r="B41" s="3" t="s">
        <v>48</v>
      </c>
      <c r="C41" s="40">
        <v>0</v>
      </c>
      <c r="D41" s="40">
        <v>0</v>
      </c>
      <c r="E41" s="4">
        <f>Insurance16284052647688100[Costo Presupuestado]-Insurance16284052647688100[Costo Real]</f>
        <v>0</v>
      </c>
      <c r="F41" s="3"/>
      <c r="G41" s="3" t="s">
        <v>56</v>
      </c>
      <c r="H41" s="40"/>
      <c r="I41" s="40"/>
      <c r="J41" s="4">
        <f>Pets19314355677991103[Costo Presupuestado]-Pets19314355677991103[Costo Real]</f>
        <v>0</v>
      </c>
      <c r="K41" s="19"/>
      <c r="L41" s="19"/>
    </row>
    <row r="42" spans="2:12" x14ac:dyDescent="0.25">
      <c r="B42" s="34" t="s">
        <v>3</v>
      </c>
      <c r="C42" s="41">
        <f>SUBTOTAL(109,Insurance16284052647688100[Costo Presupuestado])</f>
        <v>500</v>
      </c>
      <c r="D42" s="41">
        <f>SUBTOTAL(109,Insurance16284052647688100[Costo Real])</f>
        <v>500</v>
      </c>
      <c r="E42" s="41">
        <f>SUBTOTAL(109,Insurance16284052647688100[Diferencia])</f>
        <v>0</v>
      </c>
      <c r="F42" s="3"/>
      <c r="G42" s="34" t="s">
        <v>3</v>
      </c>
      <c r="H42" s="49">
        <f>SUBTOTAL(109,Pets19314355677991103[Costo Presupuestado])</f>
        <v>0</v>
      </c>
      <c r="I42" s="49">
        <f>SUBTOTAL(109,Pets19314355677991103[Costo Real])</f>
        <v>0</v>
      </c>
      <c r="J42" s="49">
        <f>SUBTOTAL(109,Pets19314355677991103[Diferencia])</f>
        <v>0</v>
      </c>
      <c r="K42" s="19"/>
      <c r="L42" s="19"/>
    </row>
    <row r="43" spans="2:12" ht="25.5" customHeight="1" x14ac:dyDescent="0.25">
      <c r="B43" s="37"/>
      <c r="C43" s="37"/>
      <c r="D43" s="37"/>
      <c r="E43" s="37"/>
      <c r="F43" s="3"/>
      <c r="K43" s="19"/>
      <c r="L43" s="19"/>
    </row>
    <row r="44" spans="2:12" ht="25.5" x14ac:dyDescent="0.25">
      <c r="B44" s="16" t="s">
        <v>26</v>
      </c>
      <c r="C44" s="13" t="s">
        <v>18</v>
      </c>
      <c r="D44" s="13" t="s">
        <v>19</v>
      </c>
      <c r="E44" s="13" t="s">
        <v>8</v>
      </c>
      <c r="F44" s="3"/>
      <c r="G44" s="32" t="s">
        <v>24</v>
      </c>
      <c r="H44" s="13" t="s">
        <v>18</v>
      </c>
      <c r="I44" s="13" t="s">
        <v>19</v>
      </c>
      <c r="J44" s="13" t="s">
        <v>8</v>
      </c>
      <c r="K44" s="19"/>
      <c r="L44" s="19"/>
    </row>
    <row r="45" spans="2:12" x14ac:dyDescent="0.25">
      <c r="B45" s="3" t="s">
        <v>57</v>
      </c>
      <c r="C45" s="40">
        <v>2000</v>
      </c>
      <c r="D45" s="40">
        <v>2500</v>
      </c>
      <c r="E45" s="4">
        <f>Food17294153657789101[Costo Presupuestado]-Food17294153657789101[Costo Real]</f>
        <v>-500</v>
      </c>
      <c r="F45" s="3"/>
      <c r="G45" s="3" t="s">
        <v>72</v>
      </c>
      <c r="H45" s="40"/>
      <c r="I45" s="40"/>
      <c r="J45" s="4">
        <f>PersonalCare20324456688092104[Costo Presupuestado]-PersonalCare20324456688092104[Costo Real]</f>
        <v>0</v>
      </c>
      <c r="K45" s="19"/>
      <c r="L45" s="19"/>
    </row>
    <row r="46" spans="2:12" x14ac:dyDescent="0.25">
      <c r="B46" s="3" t="s">
        <v>58</v>
      </c>
      <c r="C46" s="40">
        <v>4000</v>
      </c>
      <c r="D46" s="40">
        <v>3000</v>
      </c>
      <c r="E46" s="4">
        <f>Food17294153657789101[Costo Presupuestado]-Food17294153657789101[Costo Real]</f>
        <v>1000</v>
      </c>
      <c r="F46" s="3"/>
      <c r="G46" s="3" t="s">
        <v>73</v>
      </c>
      <c r="H46" s="40"/>
      <c r="I46" s="40"/>
      <c r="J46" s="4">
        <f>PersonalCare20324456688092104[Costo Presupuestado]-PersonalCare20324456688092104[Costo Real]</f>
        <v>0</v>
      </c>
      <c r="K46" s="19"/>
      <c r="L46" s="19"/>
    </row>
    <row r="47" spans="2:12" x14ac:dyDescent="0.25">
      <c r="B47" s="3" t="s">
        <v>56</v>
      </c>
      <c r="C47" s="40">
        <v>0</v>
      </c>
      <c r="D47" s="40">
        <v>0</v>
      </c>
      <c r="E47" s="4">
        <f>Food17294153657789101[Costo Presupuestado]-Food17294153657789101[Costo Real]</f>
        <v>0</v>
      </c>
      <c r="F47" s="3"/>
      <c r="G47" s="3" t="s">
        <v>74</v>
      </c>
      <c r="H47" s="40">
        <v>1000</v>
      </c>
      <c r="I47" s="40">
        <v>600</v>
      </c>
      <c r="J47" s="4">
        <f>PersonalCare20324456688092104[Costo Presupuestado]-PersonalCare20324456688092104[Costo Real]</f>
        <v>400</v>
      </c>
      <c r="K47" s="19"/>
      <c r="L47" s="19"/>
    </row>
    <row r="48" spans="2:12" x14ac:dyDescent="0.25">
      <c r="B48" s="34" t="s">
        <v>3</v>
      </c>
      <c r="C48" s="41">
        <f>SUBTOTAL(109,Food17294153657789101[Costo Presupuestado])</f>
        <v>6000</v>
      </c>
      <c r="D48" s="41">
        <f>SUBTOTAL(109,Food17294153657789101[Costo Real])</f>
        <v>5500</v>
      </c>
      <c r="E48" s="41">
        <f>SUBTOTAL(109,Food17294153657789101[Diferencia])</f>
        <v>500</v>
      </c>
      <c r="F48" s="3"/>
      <c r="G48" s="3" t="s">
        <v>75</v>
      </c>
      <c r="H48" s="40"/>
      <c r="I48" s="40"/>
      <c r="J48" s="4">
        <f>PersonalCare20324456688092104[Costo Presupuestado]-PersonalCare20324456688092104[Costo Real]</f>
        <v>0</v>
      </c>
      <c r="K48" s="19"/>
      <c r="L48" s="19"/>
    </row>
    <row r="49" spans="2:12" ht="25.5" customHeight="1" x14ac:dyDescent="0.25">
      <c r="B49" s="37"/>
      <c r="C49" s="37"/>
      <c r="D49" s="37"/>
      <c r="E49" s="37"/>
      <c r="F49" s="3"/>
      <c r="G49" s="3" t="s">
        <v>76</v>
      </c>
      <c r="H49" s="40"/>
      <c r="I49" s="40"/>
      <c r="J49" s="4">
        <f>PersonalCare20324456688092104[Costo Presupuestado]-PersonalCare20324456688092104[Costo Real]</f>
        <v>0</v>
      </c>
      <c r="K49" s="19"/>
      <c r="L49" s="19"/>
    </row>
    <row r="50" spans="2:12" ht="25.5" customHeight="1" x14ac:dyDescent="0.25">
      <c r="B50" s="16" t="s">
        <v>23</v>
      </c>
      <c r="C50" s="13" t="s">
        <v>18</v>
      </c>
      <c r="D50" s="13" t="s">
        <v>19</v>
      </c>
      <c r="E50" s="13" t="s">
        <v>8</v>
      </c>
      <c r="F50" s="3"/>
      <c r="G50" s="3" t="s">
        <v>64</v>
      </c>
      <c r="H50" s="40"/>
      <c r="I50" s="40"/>
      <c r="J50" s="4">
        <f>PersonalCare20324456688092104[Costo Presupuestado]-PersonalCare20324456688092104[Costo Real]</f>
        <v>0</v>
      </c>
      <c r="K50" s="19"/>
      <c r="L50" s="19"/>
    </row>
    <row r="51" spans="2:12" x14ac:dyDescent="0.25">
      <c r="B51" s="21" t="s">
        <v>65</v>
      </c>
      <c r="C51" s="40">
        <v>0</v>
      </c>
      <c r="D51" s="40">
        <v>0</v>
      </c>
      <c r="E51" s="4">
        <f>Children18304254667890102[Costo Presupuestado]-Children18304254667890102[Costo Real]</f>
        <v>0</v>
      </c>
      <c r="F51" s="3"/>
      <c r="G51" s="34" t="s">
        <v>3</v>
      </c>
      <c r="H51" s="49">
        <f>SUBTOTAL(109,PersonalCare20324456688092104[Costo Presupuestado])</f>
        <v>1000</v>
      </c>
      <c r="I51" s="49">
        <f>SUBTOTAL(109,PersonalCare20324456688092104[Costo Real])</f>
        <v>600</v>
      </c>
      <c r="J51" s="49">
        <f>SUBTOTAL(109,PersonalCare20324456688092104[Diferencia])</f>
        <v>400</v>
      </c>
      <c r="K51" s="19"/>
      <c r="L51" s="19"/>
    </row>
    <row r="52" spans="2:12" x14ac:dyDescent="0.25">
      <c r="B52" s="21" t="s">
        <v>74</v>
      </c>
      <c r="C52" s="40">
        <v>0</v>
      </c>
      <c r="D52" s="40">
        <v>0</v>
      </c>
      <c r="E52" s="4">
        <f>Children18304254667890102[Costo Presupuestado]-Children18304254667890102[Costo Real]</f>
        <v>0</v>
      </c>
      <c r="F52" s="3"/>
      <c r="K52" s="19"/>
      <c r="L52" s="19"/>
    </row>
    <row r="53" spans="2:12" ht="38.25" x14ac:dyDescent="0.25">
      <c r="B53" s="21" t="s">
        <v>59</v>
      </c>
      <c r="C53" s="40">
        <v>0</v>
      </c>
      <c r="D53" s="40">
        <v>0</v>
      </c>
      <c r="E53" s="4">
        <f>Children18304254667890102[Costo Presupuestado]-Children18304254667890102[Costo Real]</f>
        <v>0</v>
      </c>
      <c r="F53" s="3"/>
      <c r="G53" s="22" t="s">
        <v>22</v>
      </c>
      <c r="H53" s="13" t="s">
        <v>18</v>
      </c>
      <c r="I53" s="13" t="s">
        <v>19</v>
      </c>
      <c r="J53" s="13" t="s">
        <v>8</v>
      </c>
      <c r="K53" s="19"/>
      <c r="L53" s="19"/>
    </row>
    <row r="54" spans="2:12" ht="25.5" x14ac:dyDescent="0.25">
      <c r="B54" s="21" t="s">
        <v>60</v>
      </c>
      <c r="C54" s="40">
        <v>0</v>
      </c>
      <c r="D54" s="40">
        <v>0</v>
      </c>
      <c r="E54" s="4">
        <f>Children18304254667890102[Costo Presupuestado]-Children18304254667890102[Costo Real]</f>
        <v>0</v>
      </c>
      <c r="F54" s="3"/>
      <c r="G54" s="3" t="s">
        <v>5</v>
      </c>
      <c r="H54" s="40"/>
      <c r="I54" s="40"/>
      <c r="J54" s="4">
        <f>Loans22344658708294106[Costo Presupuestado]-Loans22344658708294106[Costo Real]</f>
        <v>0</v>
      </c>
      <c r="K54" s="19"/>
      <c r="L54" s="19"/>
    </row>
    <row r="55" spans="2:12" ht="25.5" x14ac:dyDescent="0.25">
      <c r="B55" s="21" t="s">
        <v>4</v>
      </c>
      <c r="C55" s="40">
        <v>0</v>
      </c>
      <c r="D55" s="40">
        <v>0</v>
      </c>
      <c r="E55" s="4">
        <f>Children18304254667890102[Costo Presupuestado]-Children18304254667890102[Costo Real]</f>
        <v>0</v>
      </c>
      <c r="F55" s="3"/>
      <c r="G55" s="3" t="s">
        <v>68</v>
      </c>
      <c r="H55" s="40"/>
      <c r="I55" s="40"/>
      <c r="J55" s="4">
        <f>Loans22344658708294106[Costo Presupuestado]-Loans22344658708294106[Costo Real]</f>
        <v>0</v>
      </c>
      <c r="K55" s="19"/>
      <c r="L55" s="19"/>
    </row>
    <row r="56" spans="2:12" ht="25.5" x14ac:dyDescent="0.25">
      <c r="B56" s="21" t="s">
        <v>61</v>
      </c>
      <c r="C56" s="40">
        <v>0</v>
      </c>
      <c r="D56" s="40">
        <v>0</v>
      </c>
      <c r="E56" s="4">
        <f>Children18304254667890102[Costo Presupuestado]-Children18304254667890102[Costo Real]</f>
        <v>0</v>
      </c>
      <c r="F56" s="3"/>
      <c r="G56" s="3" t="s">
        <v>69</v>
      </c>
      <c r="H56" s="40"/>
      <c r="I56" s="40"/>
      <c r="J56" s="4">
        <f>Loans22344658708294106[Costo Presupuestado]-Loans22344658708294106[Costo Real]</f>
        <v>0</v>
      </c>
      <c r="K56" s="19"/>
      <c r="L56" s="19"/>
    </row>
    <row r="57" spans="2:12" x14ac:dyDescent="0.25">
      <c r="B57" s="21" t="s">
        <v>62</v>
      </c>
      <c r="C57" s="40">
        <v>0</v>
      </c>
      <c r="D57" s="40">
        <v>0</v>
      </c>
      <c r="E57" s="4">
        <f>Children18304254667890102[Costo Presupuestado]-Children18304254667890102[Costo Real]</f>
        <v>0</v>
      </c>
      <c r="F57" s="3"/>
      <c r="G57" s="3" t="s">
        <v>70</v>
      </c>
      <c r="H57" s="40"/>
      <c r="I57" s="40"/>
      <c r="J57" s="4">
        <f>Loans22344658708294106[Costo Presupuestado]-Loans22344658708294106[Costo Real]</f>
        <v>0</v>
      </c>
      <c r="K57" s="19"/>
      <c r="L57" s="19"/>
    </row>
    <row r="58" spans="2:12" x14ac:dyDescent="0.25">
      <c r="B58" s="21" t="s">
        <v>63</v>
      </c>
      <c r="C58" s="40">
        <v>0</v>
      </c>
      <c r="D58" s="40">
        <v>0</v>
      </c>
      <c r="E58" s="4">
        <f>Children18304254667890102[Costo Presupuestado]-Children18304254667890102[Costo Real]</f>
        <v>0</v>
      </c>
      <c r="F58" s="3"/>
      <c r="G58" s="3" t="s">
        <v>71</v>
      </c>
      <c r="H58" s="40"/>
      <c r="I58" s="40"/>
      <c r="J58" s="4">
        <f>Loans22344658708294106[Costo Presupuestado]-Loans22344658708294106[Costo Real]</f>
        <v>0</v>
      </c>
      <c r="K58" s="19"/>
      <c r="L58" s="19"/>
    </row>
    <row r="59" spans="2:12" x14ac:dyDescent="0.25">
      <c r="B59" s="21" t="s">
        <v>64</v>
      </c>
      <c r="C59" s="40">
        <v>0</v>
      </c>
      <c r="D59" s="40">
        <v>0</v>
      </c>
      <c r="E59" s="4">
        <f>Children18304254667890102[Costo Presupuestado]-Children18304254667890102[Costo Real]</f>
        <v>0</v>
      </c>
      <c r="F59" s="3"/>
      <c r="G59" s="3" t="s">
        <v>64</v>
      </c>
      <c r="H59" s="40"/>
      <c r="I59" s="40"/>
      <c r="J59" s="4">
        <f>Loans22344658708294106[Costo Presupuestado]-Loans22344658708294106[Costo Real]</f>
        <v>0</v>
      </c>
      <c r="K59" s="19"/>
      <c r="L59" s="19"/>
    </row>
    <row r="60" spans="2:12" x14ac:dyDescent="0.25">
      <c r="B60" s="34" t="s">
        <v>3</v>
      </c>
      <c r="C60" s="41">
        <f>SUBTOTAL(109,Children18304254667890102[Costo Presupuestado])</f>
        <v>0</v>
      </c>
      <c r="D60" s="41">
        <f>SUBTOTAL(109,Children18304254667890102[Costo Real])</f>
        <v>0</v>
      </c>
      <c r="E60" s="41">
        <f>SUBTOTAL(109,Children18304254667890102[Diferencia])</f>
        <v>0</v>
      </c>
      <c r="F60" s="3"/>
      <c r="G60" s="34" t="s">
        <v>3</v>
      </c>
      <c r="H60" s="49">
        <f>SUBTOTAL(109,Loans22344658708294106[Costo Presupuestado])</f>
        <v>0</v>
      </c>
      <c r="I60" s="49">
        <f>SUBTOTAL(109,Loans22344658708294106[Costo Real])</f>
        <v>0</v>
      </c>
      <c r="J60" s="49">
        <f>SUBTOTAL(109,Loans22344658708294106[Diferencia])</f>
        <v>0</v>
      </c>
      <c r="K60" s="19"/>
      <c r="L60" s="19"/>
    </row>
    <row r="61" spans="2:12" x14ac:dyDescent="0.25">
      <c r="F61" s="3"/>
      <c r="K61" s="19"/>
      <c r="L61" s="19"/>
    </row>
    <row r="62" spans="2:12" ht="25.5" x14ac:dyDescent="0.25">
      <c r="F62" s="3"/>
      <c r="G62" s="15" t="s">
        <v>21</v>
      </c>
      <c r="H62" s="13" t="s">
        <v>18</v>
      </c>
      <c r="I62" s="13" t="s">
        <v>19</v>
      </c>
      <c r="J62" s="13" t="s">
        <v>8</v>
      </c>
      <c r="K62" s="19"/>
      <c r="L62" s="19"/>
    </row>
    <row r="63" spans="2:12" x14ac:dyDescent="0.25">
      <c r="F63" s="3"/>
      <c r="G63" s="3" t="s">
        <v>66</v>
      </c>
      <c r="H63" s="40"/>
      <c r="I63" s="40"/>
      <c r="J63" s="4">
        <f>Legal25374961738597109[Costo Presupuestado]-Legal25374961738597109[Costo Real]</f>
        <v>0</v>
      </c>
      <c r="K63" s="19"/>
      <c r="L63" s="19"/>
    </row>
    <row r="64" spans="2:12" x14ac:dyDescent="0.25">
      <c r="F64" s="3"/>
      <c r="G64" s="3" t="s">
        <v>67</v>
      </c>
      <c r="H64" s="40"/>
      <c r="I64" s="40"/>
      <c r="J64" s="4">
        <f>Legal25374961738597109[Costo Presupuestado]-Legal25374961738597109[Costo Real]</f>
        <v>0</v>
      </c>
      <c r="K64" s="19"/>
      <c r="L64" s="19"/>
    </row>
    <row r="65" spans="6:12" x14ac:dyDescent="0.25">
      <c r="F65" s="3"/>
      <c r="G65" s="3" t="s">
        <v>64</v>
      </c>
      <c r="H65" s="40"/>
      <c r="I65" s="40"/>
      <c r="J65" s="4">
        <f>Legal25374961738597109[Costo Presupuestado]-Legal25374961738597109[Costo Real]</f>
        <v>0</v>
      </c>
      <c r="K65" s="19"/>
      <c r="L65" s="19"/>
    </row>
    <row r="66" spans="6:12" x14ac:dyDescent="0.25">
      <c r="F66" s="3"/>
      <c r="G66" s="34" t="s">
        <v>3</v>
      </c>
      <c r="H66" s="41">
        <f>SUBTOTAL(109,Legal25374961738597109[Costo Presupuestado])</f>
        <v>0</v>
      </c>
      <c r="I66" s="41">
        <f>SUBTOTAL(109,Legal25374961738597109[Costo Real])</f>
        <v>0</v>
      </c>
      <c r="J66" s="41">
        <f>SUBTOTAL(109,Legal25374961738597109[Diferencia])</f>
        <v>0</v>
      </c>
      <c r="K66" s="19"/>
      <c r="L66" s="19"/>
    </row>
    <row r="67" spans="6:12" x14ac:dyDescent="0.25">
      <c r="F67" s="3"/>
      <c r="K67" s="19"/>
      <c r="L67" s="19"/>
    </row>
    <row r="68" spans="6:12" x14ac:dyDescent="0.25">
      <c r="F68" s="3"/>
      <c r="K68" s="19"/>
      <c r="L68" s="19"/>
    </row>
    <row r="69" spans="6:12" x14ac:dyDescent="0.25">
      <c r="F69" s="3"/>
      <c r="K69" s="19"/>
      <c r="L69" s="19"/>
    </row>
    <row r="70" spans="6:12" x14ac:dyDescent="0.25">
      <c r="K70" s="19"/>
      <c r="L70" s="19"/>
    </row>
  </sheetData>
  <mergeCells count="6">
    <mergeCell ref="B1:H1"/>
    <mergeCell ref="B3:C3"/>
    <mergeCell ref="G3:H3"/>
    <mergeCell ref="G9:H9"/>
    <mergeCell ref="Q11:R11"/>
    <mergeCell ref="Q17:R17"/>
  </mergeCells>
  <conditionalFormatting sqref="J54:J59 J37:J41 J31:J33 J21:J27 E15:E24 E51:E59 E45:E47 E38:E41 H17 E28:E34 J63:J65 J45:J50 E7:E11">
    <cfRule type="iconSet" priority="1">
      <iconSet iconSet="3Arrows">
        <cfvo type="percentile" val="0"/>
        <cfvo type="num" val="-50"/>
        <cfvo type="num" val="50"/>
      </iconSet>
    </cfRule>
  </conditionalFormatting>
  <conditionalFormatting sqref="E15:E24">
    <cfRule type="iconSet" priority="2">
      <iconSet iconSet="4Arrows">
        <cfvo type="percent" val="0"/>
        <cfvo type="percent" val="25"/>
        <cfvo type="percent" val="50"/>
        <cfvo type="percent" val="75"/>
      </iconSet>
    </cfRule>
  </conditionalFormatting>
  <pageMargins left="0.7" right="0.7" top="0.75" bottom="0.75" header="0.3" footer="0.3"/>
  <drawing r:id="rId1"/>
  <tableParts count="1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0"/>
  <sheetViews>
    <sheetView workbookViewId="0">
      <selection activeCell="I1" sqref="I1"/>
    </sheetView>
  </sheetViews>
  <sheetFormatPr defaultRowHeight="15" x14ac:dyDescent="0.25"/>
  <cols>
    <col min="1" max="1" width="5" style="17" customWidth="1"/>
    <col min="2" max="2" width="17.42578125" style="17" customWidth="1"/>
    <col min="3" max="3" width="17.5703125" style="17" bestFit="1" customWidth="1"/>
    <col min="4" max="4" width="14" style="17" bestFit="1" customWidth="1"/>
    <col min="5" max="5" width="13" style="17" customWidth="1"/>
    <col min="6" max="6" width="5.5703125" style="17" customWidth="1"/>
    <col min="7" max="7" width="15.42578125" style="17" customWidth="1"/>
    <col min="8" max="8" width="14.7109375" style="17" bestFit="1" customWidth="1"/>
    <col min="9" max="9" width="12" style="17" bestFit="1" customWidth="1"/>
    <col min="10" max="10" width="10.85546875" style="17" bestFit="1" customWidth="1"/>
    <col min="11" max="16384" width="9.140625" style="17"/>
  </cols>
  <sheetData>
    <row r="1" spans="1:18" ht="62.25" customHeight="1" x14ac:dyDescent="0.3">
      <c r="A1" s="19"/>
      <c r="B1" s="51"/>
      <c r="C1" s="51"/>
      <c r="D1" s="51"/>
      <c r="E1" s="51"/>
      <c r="F1" s="51"/>
      <c r="G1" s="51"/>
      <c r="H1" s="51"/>
      <c r="I1" s="1"/>
      <c r="J1" s="1"/>
      <c r="K1" s="19"/>
      <c r="L1" s="19"/>
    </row>
    <row r="2" spans="1:18" ht="18.75" customHeight="1" thickBot="1" x14ac:dyDescent="0.3">
      <c r="A2" s="19"/>
      <c r="B2" s="38"/>
      <c r="C2" s="38"/>
      <c r="D2" s="38"/>
      <c r="E2" s="38"/>
      <c r="F2" s="38"/>
      <c r="G2" s="38"/>
      <c r="H2" s="38"/>
      <c r="I2" s="38"/>
      <c r="J2" s="38"/>
      <c r="K2" s="19"/>
      <c r="L2" s="19"/>
    </row>
    <row r="3" spans="1:18" ht="26.25" thickBot="1" x14ac:dyDescent="0.3">
      <c r="B3" s="52" t="s">
        <v>6</v>
      </c>
      <c r="C3" s="53"/>
      <c r="D3" s="23" t="s">
        <v>7</v>
      </c>
      <c r="E3" s="24" t="s">
        <v>8</v>
      </c>
      <c r="F3" s="2"/>
      <c r="G3" s="54" t="s">
        <v>9</v>
      </c>
      <c r="H3" s="55"/>
      <c r="I3" s="2"/>
      <c r="J3" s="2"/>
      <c r="K3" s="19"/>
      <c r="L3" s="19"/>
      <c r="Q3" s="19"/>
      <c r="R3" s="19"/>
    </row>
    <row r="4" spans="1:18" ht="15.75" thickBot="1" x14ac:dyDescent="0.3">
      <c r="B4" s="25"/>
      <c r="C4" s="50">
        <f>Housing1126385062748698110[[#Totals],[Costo Presupuestado]]+Transportation1527395163758799111[[#Totals],[Costo Presupuestado]]+Insurance16284052647688100112[[#Totals],[Costo Presupuestado]]+Food17294153657789101113[[#Totals],[Costo Presupuestado]]+Children18304254667890102114[[#Totals],[Costo Presupuestado]]+Legal25374961738597109121[[#Totals],[Costo Presupuestado]]+Savings23354759718395107119[[#Totals],[Costo Presupuestado]]+Loans22344658708294106118[[#Totals],[Costo Presupuestado]]+Entertainment21334557698193105117[[#Totals],[Costo Presupuestado]]+PersonalCare20324456688092104116[[#Totals],[Costo Presupuestado]]+Pets19314355677991103115[[#Totals],[Costo Presupuestado]]+Gifts24364860728496108120[[#Totals],[Costo Presupuestado]]</f>
        <v>44250</v>
      </c>
      <c r="D4" s="50">
        <f>Housing1126385062748698110[[#Totals],[Costo Real]]+Transportation1527395163758799111[[#Totals],[Costo Real]]+Insurance16284052647688100112[[#Totals],[Costo Real]]+Food17294153657789101113[[#Totals],[Costo Real]]+Children18304254667890102114[[#Totals],[Costo Real]]+Legal25374961738597109121[[#Totals],[Costo Real]]+Savings23354759718395107119[[#Totals],[Costo Real]]+Loans22344658708294106118[[#Totals],[Costo Real]]+Entertainment21334557698193105117[[#Totals],[Costo Real]]+PersonalCare20324456688092104116[[#Totals],[Costo Real]]+Pets19314355677991103115[[#Totals],[Costo Real]]+Gifts24364860728496108120[[#Totals],[Costo Real]]</f>
        <v>39844</v>
      </c>
      <c r="E4" s="45">
        <f>Housing1126385062748698110[[#Totals],[Diferencia]]+Transportation1527395163758799111[[#Totals],[Diferencia]]+Insurance16284052647688100112[[#Totals],[Diferencia]]+Food17294153657789101113[[#Totals],[Diferencia]]+Children18304254667890102114[[#Totals],[Diferencia]]+Legal25374961738597109121[[#Totals],[Diferencia]]+Savings23354759718395107119[[#Totals],[Diferencia]]+Loans22344658708294106118[[#Totals],[Diferencia]]+Entertainment21334557698193105117[[#Totals],[Diferencia]]+PersonalCare20324456688092104116[[#Totals],[Diferencia]]+Pets19314355677991103115[[#Totals],[Diferencia]]+Gifts24364860728496108120[[#Totals],[Diferencia]]</f>
        <v>4406</v>
      </c>
      <c r="F4" s="2"/>
      <c r="G4" s="39" t="s">
        <v>10</v>
      </c>
      <c r="H4" s="48">
        <v>50000</v>
      </c>
      <c r="I4" s="2"/>
      <c r="J4" s="2"/>
      <c r="K4" s="19"/>
      <c r="L4" s="19"/>
      <c r="Q4" s="19"/>
      <c r="R4" s="19"/>
    </row>
    <row r="5" spans="1:18" ht="25.5" x14ac:dyDescent="0.25">
      <c r="F5" s="3"/>
      <c r="G5" s="26" t="s">
        <v>11</v>
      </c>
      <c r="H5" s="46">
        <v>5000</v>
      </c>
      <c r="I5" s="3"/>
      <c r="J5" s="3"/>
      <c r="K5" s="19"/>
      <c r="L5" s="19"/>
      <c r="Q5" s="19"/>
      <c r="R5" s="19"/>
    </row>
    <row r="6" spans="1:18" ht="25.5" x14ac:dyDescent="0.25">
      <c r="B6" s="33" t="s">
        <v>20</v>
      </c>
      <c r="C6" s="13" t="s">
        <v>18</v>
      </c>
      <c r="D6" s="13" t="s">
        <v>19</v>
      </c>
      <c r="E6" s="13" t="s">
        <v>8</v>
      </c>
      <c r="F6" s="3"/>
      <c r="G6" s="26" t="s">
        <v>12</v>
      </c>
      <c r="H6" s="46">
        <v>0</v>
      </c>
      <c r="I6" s="3"/>
      <c r="J6" s="3"/>
      <c r="K6" s="19"/>
      <c r="L6" s="19"/>
      <c r="Q6" s="19"/>
      <c r="R6" s="19"/>
    </row>
    <row r="7" spans="1:18" ht="26.25" thickBot="1" x14ac:dyDescent="0.3">
      <c r="B7" s="3" t="s">
        <v>77</v>
      </c>
      <c r="C7" s="40">
        <v>5000</v>
      </c>
      <c r="D7" s="40">
        <v>5000</v>
      </c>
      <c r="E7" s="40">
        <f>Savings23354759718395107119[Costo Presupuestado]-Savings23354759718395107119[Costo Real]</f>
        <v>0</v>
      </c>
      <c r="F7" s="3"/>
      <c r="G7" s="27" t="s">
        <v>13</v>
      </c>
      <c r="H7" s="47">
        <f>SUM(H4:H6)</f>
        <v>55000</v>
      </c>
      <c r="I7" s="3"/>
      <c r="J7" s="3"/>
      <c r="K7" s="19"/>
      <c r="L7" s="19"/>
      <c r="Q7" s="19"/>
      <c r="R7" s="19"/>
    </row>
    <row r="8" spans="1:18" ht="15.75" thickBot="1" x14ac:dyDescent="0.3">
      <c r="B8" s="3" t="s">
        <v>78</v>
      </c>
      <c r="C8" s="40"/>
      <c r="D8" s="40"/>
      <c r="E8" s="40">
        <f>Savings23354759718395107119[Costo Presupuestado]-Savings23354759718395107119[Costo Real]</f>
        <v>0</v>
      </c>
      <c r="F8" s="3"/>
      <c r="G8" s="5"/>
      <c r="H8" s="6"/>
      <c r="I8" s="18"/>
      <c r="J8" s="18"/>
      <c r="K8" s="19"/>
      <c r="L8" s="19"/>
      <c r="Q8" s="19"/>
      <c r="R8" s="19"/>
    </row>
    <row r="9" spans="1:18" ht="25.5" x14ac:dyDescent="0.25">
      <c r="B9" s="3" t="s">
        <v>81</v>
      </c>
      <c r="C9" s="40"/>
      <c r="D9" s="40"/>
      <c r="E9" s="40">
        <f>Savings23354759718395107119[Costo Presupuestado]-Savings23354759718395107119[Costo Real]</f>
        <v>0</v>
      </c>
      <c r="F9" s="3"/>
      <c r="G9" s="56" t="s">
        <v>14</v>
      </c>
      <c r="H9" s="57"/>
      <c r="I9" s="3"/>
      <c r="J9" s="3"/>
      <c r="K9" s="19" t="s">
        <v>0</v>
      </c>
      <c r="L9" s="19"/>
      <c r="Q9" s="19"/>
      <c r="R9" s="19"/>
    </row>
    <row r="10" spans="1:18" x14ac:dyDescent="0.25">
      <c r="B10" s="36" t="s">
        <v>80</v>
      </c>
      <c r="C10" s="42"/>
      <c r="D10" s="42"/>
      <c r="E10" s="40">
        <f>Savings23354759718395107119[Costo Presupuestado]-Savings23354759718395107119[Costo Real]</f>
        <v>0</v>
      </c>
      <c r="F10" s="3"/>
      <c r="G10" s="26" t="s">
        <v>10</v>
      </c>
      <c r="H10" s="46">
        <v>48000</v>
      </c>
      <c r="I10" s="3"/>
      <c r="J10" s="3"/>
      <c r="K10" s="19"/>
      <c r="L10" s="19"/>
      <c r="Q10" s="19"/>
      <c r="R10" s="19"/>
    </row>
    <row r="11" spans="1:18" ht="25.5" x14ac:dyDescent="0.25">
      <c r="B11" s="3" t="s">
        <v>79</v>
      </c>
      <c r="C11" s="40"/>
      <c r="D11" s="40"/>
      <c r="E11" s="40">
        <f>Savings23354759718395107119[Costo Presupuestado]-Savings23354759718395107119[Costo Real]</f>
        <v>0</v>
      </c>
      <c r="F11" s="3"/>
      <c r="G11" s="26" t="s">
        <v>11</v>
      </c>
      <c r="H11" s="46">
        <v>4500</v>
      </c>
      <c r="I11" s="3"/>
      <c r="J11" s="3"/>
      <c r="K11" s="19"/>
      <c r="L11" s="19"/>
      <c r="Q11" s="58"/>
      <c r="R11" s="58"/>
    </row>
    <row r="12" spans="1:18" x14ac:dyDescent="0.25">
      <c r="B12" s="34" t="s">
        <v>3</v>
      </c>
      <c r="C12" s="41">
        <f>SUBTOTAL(109,Savings23354759718395107119[Costo Presupuestado])</f>
        <v>5000</v>
      </c>
      <c r="D12" s="41">
        <f>SUBTOTAL(109,Savings23354759718395107119[Costo Real])</f>
        <v>5000</v>
      </c>
      <c r="E12" s="41">
        <f>SUBTOTAL(109,Savings23354759718395107119[Diferencia])</f>
        <v>0</v>
      </c>
      <c r="F12" s="3"/>
      <c r="G12" s="26" t="s">
        <v>12</v>
      </c>
      <c r="H12" s="46">
        <v>0</v>
      </c>
      <c r="I12" s="3"/>
      <c r="J12" s="3"/>
      <c r="K12" s="19"/>
      <c r="L12" s="19"/>
      <c r="Q12" s="7"/>
      <c r="R12" s="8"/>
    </row>
    <row r="13" spans="1:18" ht="26.25" thickBot="1" x14ac:dyDescent="0.3">
      <c r="F13" s="3"/>
      <c r="G13" s="27" t="s">
        <v>13</v>
      </c>
      <c r="H13" s="47">
        <f>SUM(H10:H12)</f>
        <v>52500</v>
      </c>
      <c r="I13" s="3"/>
      <c r="J13" s="3"/>
      <c r="K13" s="19"/>
      <c r="L13" s="19"/>
      <c r="Q13" s="7"/>
      <c r="R13" s="8"/>
    </row>
    <row r="14" spans="1:18" ht="26.25" thickBot="1" x14ac:dyDescent="0.3">
      <c r="B14" s="12" t="s">
        <v>17</v>
      </c>
      <c r="C14" s="13" t="s">
        <v>18</v>
      </c>
      <c r="D14" s="13" t="s">
        <v>19</v>
      </c>
      <c r="E14" s="13" t="s">
        <v>8</v>
      </c>
      <c r="F14" s="3"/>
      <c r="G14" s="2"/>
      <c r="H14" s="2"/>
      <c r="I14" s="3"/>
      <c r="J14" s="3"/>
      <c r="K14" s="19"/>
      <c r="L14" s="19"/>
      <c r="Q14" s="7"/>
      <c r="R14" s="8"/>
    </row>
    <row r="15" spans="1:18" ht="25.5" x14ac:dyDescent="0.25">
      <c r="B15" s="3" t="s">
        <v>36</v>
      </c>
      <c r="C15" s="40">
        <v>16000</v>
      </c>
      <c r="D15" s="40">
        <v>16000</v>
      </c>
      <c r="E15" s="4">
        <f>Housing1126385062748698110[Costo Presupuestado]-Housing1126385062748698110[Costo Real]</f>
        <v>0</v>
      </c>
      <c r="F15" s="3"/>
      <c r="G15" s="29" t="s">
        <v>15</v>
      </c>
      <c r="H15" s="43">
        <f>SUM(H7-C4)</f>
        <v>10750</v>
      </c>
      <c r="I15" s="3"/>
      <c r="J15" s="3"/>
      <c r="K15" s="19"/>
      <c r="L15" s="19"/>
      <c r="Q15" s="7"/>
      <c r="R15" s="8"/>
    </row>
    <row r="16" spans="1:18" ht="25.5" customHeight="1" x14ac:dyDescent="0.25">
      <c r="B16" s="3" t="s">
        <v>37</v>
      </c>
      <c r="C16" s="40">
        <v>0</v>
      </c>
      <c r="D16" s="40">
        <v>0</v>
      </c>
      <c r="E16" s="4">
        <f>Housing1126385062748698110[Costo Presupuestado]-Housing1126385062748698110[Costo Real]</f>
        <v>0</v>
      </c>
      <c r="F16" s="3"/>
      <c r="G16" s="30" t="s">
        <v>16</v>
      </c>
      <c r="H16" s="44">
        <f>SUM(H13-D4)</f>
        <v>12656</v>
      </c>
      <c r="I16" s="3"/>
      <c r="J16" s="3"/>
      <c r="K16" s="19"/>
      <c r="L16" s="19"/>
      <c r="Q16" s="10"/>
      <c r="R16" s="2"/>
    </row>
    <row r="17" spans="2:18" ht="15.75" thickBot="1" x14ac:dyDescent="0.3">
      <c r="B17" s="3" t="s">
        <v>38</v>
      </c>
      <c r="C17" s="40">
        <v>0</v>
      </c>
      <c r="D17" s="40">
        <v>0</v>
      </c>
      <c r="E17" s="4">
        <f>Housing1126385062748698110[Costo Presupuestado]-Housing1126385062748698110[Costo Real]</f>
        <v>0</v>
      </c>
      <c r="F17" s="3"/>
      <c r="G17" s="31" t="s">
        <v>8</v>
      </c>
      <c r="H17" s="45">
        <f>SUM(H16-H15)</f>
        <v>1906</v>
      </c>
      <c r="I17" s="3"/>
      <c r="J17" s="3"/>
      <c r="K17" s="19"/>
      <c r="L17" s="19"/>
      <c r="Q17" s="58"/>
      <c r="R17" s="58"/>
    </row>
    <row r="18" spans="2:18" x14ac:dyDescent="0.25">
      <c r="B18" s="3" t="s">
        <v>31</v>
      </c>
      <c r="C18" s="40">
        <v>200</v>
      </c>
      <c r="D18" s="40">
        <v>200</v>
      </c>
      <c r="E18" s="4">
        <f>Housing1126385062748698110[Costo Presupuestado]-Housing1126385062748698110[Costo Real]</f>
        <v>0</v>
      </c>
      <c r="F18" s="3"/>
      <c r="G18" s="3"/>
      <c r="H18" s="3"/>
      <c r="I18" s="3"/>
      <c r="J18" s="3"/>
      <c r="K18" s="19"/>
      <c r="L18" s="19"/>
      <c r="Q18" s="7"/>
      <c r="R18" s="8"/>
    </row>
    <row r="19" spans="2:18" x14ac:dyDescent="0.25">
      <c r="B19" s="3" t="s">
        <v>32</v>
      </c>
      <c r="C19" s="40">
        <v>100</v>
      </c>
      <c r="D19" s="40">
        <v>100</v>
      </c>
      <c r="E19" s="4">
        <f>Housing1126385062748698110[Costo Presupuestado]-Housing1126385062748698110[Costo Real]</f>
        <v>0</v>
      </c>
      <c r="F19" s="3"/>
      <c r="G19" s="18"/>
      <c r="H19" s="18"/>
      <c r="I19" s="18"/>
      <c r="J19" s="18"/>
      <c r="K19" s="19"/>
      <c r="L19" s="19"/>
      <c r="Q19" s="7"/>
      <c r="R19" s="8"/>
    </row>
    <row r="20" spans="2:18" ht="25.5" x14ac:dyDescent="0.25">
      <c r="B20" s="3" t="s">
        <v>33</v>
      </c>
      <c r="C20" s="40">
        <v>0</v>
      </c>
      <c r="D20" s="40">
        <v>0</v>
      </c>
      <c r="E20" s="4">
        <f>Housing1126385062748698110[Costo Presupuestado]-Housing1126385062748698110[Costo Real]</f>
        <v>0</v>
      </c>
      <c r="F20" s="3"/>
      <c r="G20" s="14" t="s">
        <v>29</v>
      </c>
      <c r="H20" s="13" t="s">
        <v>18</v>
      </c>
      <c r="I20" s="13" t="s">
        <v>19</v>
      </c>
      <c r="J20" s="13" t="s">
        <v>8</v>
      </c>
      <c r="K20" s="19"/>
      <c r="L20" s="19"/>
      <c r="Q20" s="7"/>
      <c r="R20" s="8"/>
    </row>
    <row r="21" spans="2:18" ht="25.5" x14ac:dyDescent="0.25">
      <c r="B21" s="3" t="s">
        <v>1</v>
      </c>
      <c r="C21" s="40">
        <v>1000</v>
      </c>
      <c r="D21" s="40">
        <v>900</v>
      </c>
      <c r="E21" s="4">
        <f>Housing1126385062748698110[Costo Presupuestado]-Housing1126385062748698110[Costo Real]</f>
        <v>100</v>
      </c>
      <c r="F21" s="3"/>
      <c r="G21" s="3" t="s">
        <v>87</v>
      </c>
      <c r="H21" s="40">
        <v>0</v>
      </c>
      <c r="I21" s="40">
        <v>0</v>
      </c>
      <c r="J21" s="4">
        <f>Entertainment21334557698193105117[Costo Presupuestado]-Entertainment21334557698193105117[Costo Real]</f>
        <v>0</v>
      </c>
      <c r="K21" s="19"/>
      <c r="L21" s="19"/>
      <c r="Q21" s="7"/>
      <c r="R21" s="8"/>
    </row>
    <row r="22" spans="2:18" ht="25.5" customHeight="1" x14ac:dyDescent="0.25">
      <c r="B22" s="3" t="s">
        <v>2</v>
      </c>
      <c r="C22" s="40">
        <v>450</v>
      </c>
      <c r="D22" s="40">
        <v>400</v>
      </c>
      <c r="E22" s="4">
        <f>Housing1126385062748698110[Costo Presupuestado]-Housing1126385062748698110[Costo Real]</f>
        <v>50</v>
      </c>
      <c r="F22" s="3"/>
      <c r="G22" s="3" t="s">
        <v>86</v>
      </c>
      <c r="H22" s="40">
        <v>5000</v>
      </c>
      <c r="I22" s="40">
        <v>4000</v>
      </c>
      <c r="J22" s="4">
        <f>Entertainment21334557698193105117[Costo Presupuestado]-Entertainment21334557698193105117[Costo Real]</f>
        <v>1000</v>
      </c>
      <c r="K22" s="19"/>
      <c r="L22" s="19"/>
      <c r="Q22" s="2"/>
      <c r="R22" s="2"/>
    </row>
    <row r="23" spans="2:18" x14ac:dyDescent="0.25">
      <c r="B23" s="3" t="s">
        <v>34</v>
      </c>
      <c r="C23" s="40">
        <v>1800</v>
      </c>
      <c r="D23" s="40">
        <v>1600</v>
      </c>
      <c r="E23" s="9">
        <f>Housing1126385062748698110[Costo Presupuestado]-Housing1126385062748698110[Costo Real]</f>
        <v>200</v>
      </c>
      <c r="F23" s="3"/>
      <c r="G23" s="3" t="s">
        <v>82</v>
      </c>
      <c r="H23" s="40">
        <v>700</v>
      </c>
      <c r="I23" s="40">
        <v>1000</v>
      </c>
      <c r="J23" s="4">
        <f>Entertainment21334557698193105117[Costo Presupuestado]-Entertainment21334557698193105117[Costo Real]</f>
        <v>-300</v>
      </c>
      <c r="K23" s="19"/>
      <c r="L23" s="19"/>
      <c r="Q23" s="20"/>
      <c r="R23" s="11"/>
    </row>
    <row r="24" spans="2:18" x14ac:dyDescent="0.25">
      <c r="B24" s="3" t="s">
        <v>35</v>
      </c>
      <c r="C24" s="40">
        <v>500</v>
      </c>
      <c r="D24" s="40">
        <v>44</v>
      </c>
      <c r="E24" s="4">
        <f>Housing1126385062748698110[Costo Presupuestado]-Housing1126385062748698110[Costo Real]</f>
        <v>456</v>
      </c>
      <c r="F24" s="3"/>
      <c r="G24" s="3" t="s">
        <v>83</v>
      </c>
      <c r="H24" s="40">
        <v>0</v>
      </c>
      <c r="I24" s="40">
        <v>0</v>
      </c>
      <c r="J24" s="4">
        <f>Entertainment21334557698193105117[Costo Presupuestado]-Entertainment21334557698193105117[Costo Real]</f>
        <v>0</v>
      </c>
      <c r="K24" s="19"/>
      <c r="L24" s="19"/>
    </row>
    <row r="25" spans="2:18" ht="25.5" x14ac:dyDescent="0.25">
      <c r="B25" s="21" t="s">
        <v>3</v>
      </c>
      <c r="C25" s="40">
        <f>SUBTOTAL(109,Housing1126385062748698110[Costo Presupuestado])</f>
        <v>20050</v>
      </c>
      <c r="D25" s="40">
        <f>SUBTOTAL(109,Housing1126385062748698110[Costo Real])</f>
        <v>19244</v>
      </c>
      <c r="E25" s="40">
        <f>SUBTOTAL(109,Housing1126385062748698110[Diferencia])</f>
        <v>806</v>
      </c>
      <c r="F25" s="3"/>
      <c r="G25" s="3" t="s">
        <v>84</v>
      </c>
      <c r="H25" s="40">
        <v>0</v>
      </c>
      <c r="I25" s="40">
        <v>0</v>
      </c>
      <c r="J25" s="4">
        <f>Entertainment21334557698193105117[Costo Presupuestado]-Entertainment21334557698193105117[Costo Real]</f>
        <v>0</v>
      </c>
      <c r="K25" s="19"/>
      <c r="L25" s="19"/>
    </row>
    <row r="26" spans="2:18" x14ac:dyDescent="0.25">
      <c r="B26" s="37"/>
      <c r="C26" s="37"/>
      <c r="D26" s="37"/>
      <c r="E26" s="37"/>
      <c r="F26" s="3"/>
      <c r="G26" s="3" t="s">
        <v>85</v>
      </c>
      <c r="H26" s="40">
        <v>0</v>
      </c>
      <c r="I26" s="40">
        <v>0</v>
      </c>
      <c r="J26" s="4">
        <f>Entertainment21334557698193105117[Costo Presupuestado]-Entertainment21334557698193105117[Costo Real]</f>
        <v>0</v>
      </c>
      <c r="K26" s="19"/>
      <c r="L26" s="19"/>
    </row>
    <row r="27" spans="2:18" ht="25.5" x14ac:dyDescent="0.25">
      <c r="B27" s="28" t="s">
        <v>30</v>
      </c>
      <c r="C27" s="13" t="s">
        <v>18</v>
      </c>
      <c r="D27" s="13" t="s">
        <v>19</v>
      </c>
      <c r="E27" s="13" t="s">
        <v>8</v>
      </c>
      <c r="F27" s="3"/>
      <c r="G27" s="3" t="s">
        <v>64</v>
      </c>
      <c r="H27" s="40"/>
      <c r="I27" s="40"/>
      <c r="J27" s="4">
        <f>Entertainment21334557698193105117[Costo Presupuestado]-Entertainment21334557698193105117[Costo Real]</f>
        <v>0</v>
      </c>
      <c r="K27" s="19"/>
      <c r="L27" s="19"/>
    </row>
    <row r="28" spans="2:18" ht="25.5" x14ac:dyDescent="0.25">
      <c r="B28" s="3" t="s">
        <v>43</v>
      </c>
      <c r="C28" s="40">
        <v>0</v>
      </c>
      <c r="D28" s="40">
        <v>0</v>
      </c>
      <c r="E28" s="4">
        <f>Transportation1527395163758799111[Costo Presupuestado]-Transportation1527395163758799111[Costo Real]</f>
        <v>0</v>
      </c>
      <c r="F28" s="3"/>
      <c r="G28" s="34" t="s">
        <v>3</v>
      </c>
      <c r="H28" s="35">
        <f>SUBTOTAL(109,Entertainment21334557698193105117[Costo Presupuestado])</f>
        <v>5700</v>
      </c>
      <c r="I28" s="35">
        <f>SUBTOTAL(109,Entertainment21334557698193105117[Costo Real])</f>
        <v>5000</v>
      </c>
      <c r="J28" s="35">
        <f>SUBTOTAL(109,Entertainment21334557698193105117[Diferencia])</f>
        <v>700</v>
      </c>
      <c r="K28" s="19"/>
      <c r="L28" s="19"/>
    </row>
    <row r="29" spans="2:18" ht="25.5" x14ac:dyDescent="0.25">
      <c r="B29" s="3" t="s">
        <v>44</v>
      </c>
      <c r="C29" s="40">
        <v>0</v>
      </c>
      <c r="D29" s="40">
        <v>0</v>
      </c>
      <c r="E29" s="4">
        <f>Transportation1527395163758799111[Costo Presupuestado]-Transportation1527395163758799111[Costo Real]</f>
        <v>0</v>
      </c>
      <c r="F29" s="3"/>
      <c r="K29" s="19"/>
      <c r="L29" s="19"/>
    </row>
    <row r="30" spans="2:18" ht="25.5" x14ac:dyDescent="0.25">
      <c r="B30" s="3" t="s">
        <v>39</v>
      </c>
      <c r="C30" s="40">
        <v>0</v>
      </c>
      <c r="D30" s="40">
        <v>0</v>
      </c>
      <c r="E30" s="4">
        <f>Transportation1527395163758799111[Costo Presupuestado]-Transportation1527395163758799111[Costo Real]</f>
        <v>0</v>
      </c>
      <c r="F30" s="3"/>
      <c r="G30" s="15" t="s">
        <v>28</v>
      </c>
      <c r="H30" s="13" t="s">
        <v>18</v>
      </c>
      <c r="I30" s="13" t="s">
        <v>19</v>
      </c>
      <c r="J30" s="13" t="s">
        <v>8</v>
      </c>
      <c r="K30" s="19"/>
      <c r="L30" s="19"/>
    </row>
    <row r="31" spans="2:18" x14ac:dyDescent="0.25">
      <c r="B31" s="3" t="s">
        <v>40</v>
      </c>
      <c r="C31" s="40">
        <v>6000</v>
      </c>
      <c r="D31" s="40">
        <v>4000</v>
      </c>
      <c r="E31" s="4">
        <f>Transportation1527395163758799111[Costo Presupuestado]-Transportation1527395163758799111[Costo Real]</f>
        <v>2000</v>
      </c>
      <c r="F31" s="3"/>
      <c r="G31" s="3" t="s">
        <v>49</v>
      </c>
      <c r="H31" s="40"/>
      <c r="I31" s="40">
        <v>0</v>
      </c>
      <c r="J31" s="4">
        <f>Gifts24364860728496108120[Costo Presupuestado]-Gifts24364860728496108120[Costo Real]</f>
        <v>0</v>
      </c>
      <c r="K31" s="19"/>
      <c r="L31" s="19"/>
    </row>
    <row r="32" spans="2:18" x14ac:dyDescent="0.25">
      <c r="B32" s="3" t="s">
        <v>41</v>
      </c>
      <c r="C32" s="40">
        <v>0</v>
      </c>
      <c r="D32" s="40">
        <v>0</v>
      </c>
      <c r="E32" s="4">
        <f>Transportation1527395163758799111[Costo Presupuestado]-Transportation1527395163758799111[Costo Real]</f>
        <v>0</v>
      </c>
      <c r="F32" s="3"/>
      <c r="G32" s="3" t="s">
        <v>50</v>
      </c>
      <c r="H32" s="40"/>
      <c r="I32" s="40"/>
      <c r="J32" s="4">
        <f>Gifts24364860728496108120[Costo Presupuestado]-Gifts24364860728496108120[Costo Real]</f>
        <v>0</v>
      </c>
      <c r="K32" s="19"/>
      <c r="L32" s="19"/>
    </row>
    <row r="33" spans="2:12" x14ac:dyDescent="0.25">
      <c r="B33" s="3" t="s">
        <v>42</v>
      </c>
      <c r="C33" s="40">
        <v>0</v>
      </c>
      <c r="D33" s="40">
        <v>0</v>
      </c>
      <c r="E33" s="4">
        <f>Transportation1527395163758799111[Costo Presupuestado]-Transportation1527395163758799111[Costo Real]</f>
        <v>0</v>
      </c>
      <c r="F33" s="3"/>
      <c r="G33" s="3" t="s">
        <v>51</v>
      </c>
      <c r="H33" s="40"/>
      <c r="I33" s="40"/>
      <c r="J33" s="4">
        <f>Gifts24364860728496108120[Costo Presupuestado]-Gifts24364860728496108120[Costo Real]</f>
        <v>0</v>
      </c>
      <c r="K33" s="19"/>
      <c r="L33" s="19"/>
    </row>
    <row r="34" spans="2:12" x14ac:dyDescent="0.25">
      <c r="B34" s="3" t="s">
        <v>38</v>
      </c>
      <c r="C34" s="40">
        <v>0</v>
      </c>
      <c r="D34" s="40">
        <v>0</v>
      </c>
      <c r="E34" s="4">
        <f>Transportation1527395163758799111[Costo Presupuestado]-Transportation1527395163758799111[Costo Real]</f>
        <v>0</v>
      </c>
      <c r="F34" s="3"/>
      <c r="G34" s="34" t="s">
        <v>3</v>
      </c>
      <c r="H34" s="41">
        <f>SUBTOTAL(109,Gifts24364860728496108120[Costo Presupuestado])</f>
        <v>0</v>
      </c>
      <c r="I34" s="41">
        <f>SUBTOTAL(109,Gifts24364860728496108120[Costo Real])</f>
        <v>0</v>
      </c>
      <c r="J34" s="41">
        <f>SUBTOTAL(109,Gifts24364860728496108120[Diferencia])</f>
        <v>0</v>
      </c>
      <c r="K34" s="19"/>
      <c r="L34" s="19"/>
    </row>
    <row r="35" spans="2:12" x14ac:dyDescent="0.25">
      <c r="B35" s="34" t="s">
        <v>3</v>
      </c>
      <c r="C35" s="41">
        <f>SUBTOTAL(109,Transportation1527395163758799111[Costo Presupuestado])</f>
        <v>6000</v>
      </c>
      <c r="D35" s="41">
        <f>SUBTOTAL(109,Transportation1527395163758799111[Costo Real])</f>
        <v>4000</v>
      </c>
      <c r="E35" s="41">
        <f>SUBTOTAL(109,Transportation1527395163758799111[Diferencia])</f>
        <v>2000</v>
      </c>
      <c r="F35" s="3"/>
      <c r="K35" s="19"/>
      <c r="L35" s="19"/>
    </row>
    <row r="36" spans="2:12" ht="25.5" x14ac:dyDescent="0.25">
      <c r="B36" s="37"/>
      <c r="C36" s="37"/>
      <c r="D36" s="37"/>
      <c r="E36" s="37"/>
      <c r="F36" s="3"/>
      <c r="G36" s="32" t="s">
        <v>25</v>
      </c>
      <c r="H36" s="13" t="s">
        <v>18</v>
      </c>
      <c r="I36" s="13" t="s">
        <v>19</v>
      </c>
      <c r="J36" s="13" t="s">
        <v>8</v>
      </c>
      <c r="K36" s="19"/>
      <c r="L36" s="19"/>
    </row>
    <row r="37" spans="2:12" ht="25.5" x14ac:dyDescent="0.25">
      <c r="B37" s="16" t="s">
        <v>27</v>
      </c>
      <c r="C37" s="13" t="s">
        <v>18</v>
      </c>
      <c r="D37" s="13" t="s">
        <v>19</v>
      </c>
      <c r="E37" s="13" t="s">
        <v>8</v>
      </c>
      <c r="F37" s="3"/>
      <c r="G37" s="3" t="s">
        <v>52</v>
      </c>
      <c r="H37" s="40"/>
      <c r="I37" s="40"/>
      <c r="J37" s="4">
        <f>Pets19314355677991103115[Costo Presupuestado]-Pets19314355677991103115[Costo Real]</f>
        <v>0</v>
      </c>
      <c r="K37" s="19"/>
      <c r="L37" s="19"/>
    </row>
    <row r="38" spans="2:12" x14ac:dyDescent="0.25">
      <c r="B38" s="3" t="s">
        <v>45</v>
      </c>
      <c r="C38" s="40">
        <v>0</v>
      </c>
      <c r="D38" s="40">
        <v>0</v>
      </c>
      <c r="E38" s="4">
        <f>Insurance16284052647688100112[Costo Presupuestado]-Insurance16284052647688100112[Costo Real]</f>
        <v>0</v>
      </c>
      <c r="F38" s="3"/>
      <c r="G38" s="3" t="s">
        <v>53</v>
      </c>
      <c r="H38" s="40"/>
      <c r="I38" s="40"/>
      <c r="J38" s="4">
        <f>Pets19314355677991103115[Costo Presupuestado]-Pets19314355677991103115[Costo Real]</f>
        <v>0</v>
      </c>
      <c r="K38" s="19"/>
      <c r="L38" s="19"/>
    </row>
    <row r="39" spans="2:12" x14ac:dyDescent="0.25">
      <c r="B39" s="3" t="s">
        <v>46</v>
      </c>
      <c r="C39" s="40">
        <v>500</v>
      </c>
      <c r="D39" s="40">
        <v>500</v>
      </c>
      <c r="E39" s="4">
        <f>Insurance16284052647688100112[Costo Presupuestado]-Insurance16284052647688100112[Costo Real]</f>
        <v>0</v>
      </c>
      <c r="F39" s="3"/>
      <c r="G39" s="3" t="s">
        <v>54</v>
      </c>
      <c r="H39" s="40"/>
      <c r="I39" s="40"/>
      <c r="J39" s="4">
        <f>Pets19314355677991103115[Costo Presupuestado]-Pets19314355677991103115[Costo Real]</f>
        <v>0</v>
      </c>
      <c r="K39" s="19"/>
      <c r="L39" s="19"/>
    </row>
    <row r="40" spans="2:12" x14ac:dyDescent="0.25">
      <c r="B40" s="3" t="s">
        <v>47</v>
      </c>
      <c r="C40" s="40">
        <v>0</v>
      </c>
      <c r="D40" s="40">
        <v>0</v>
      </c>
      <c r="E40" s="4">
        <f>Insurance16284052647688100112[Costo Presupuestado]-Insurance16284052647688100112[Costo Real]</f>
        <v>0</v>
      </c>
      <c r="F40" s="3"/>
      <c r="G40" s="3" t="s">
        <v>55</v>
      </c>
      <c r="H40" s="40"/>
      <c r="I40" s="40"/>
      <c r="J40" s="4">
        <f>Pets19314355677991103115[Costo Presupuestado]-Pets19314355677991103115[Costo Real]</f>
        <v>0</v>
      </c>
      <c r="K40" s="19"/>
      <c r="L40" s="19"/>
    </row>
    <row r="41" spans="2:12" x14ac:dyDescent="0.25">
      <c r="B41" s="3" t="s">
        <v>48</v>
      </c>
      <c r="C41" s="40">
        <v>0</v>
      </c>
      <c r="D41" s="40">
        <v>0</v>
      </c>
      <c r="E41" s="4">
        <f>Insurance16284052647688100112[Costo Presupuestado]-Insurance16284052647688100112[Costo Real]</f>
        <v>0</v>
      </c>
      <c r="F41" s="3"/>
      <c r="G41" s="3" t="s">
        <v>56</v>
      </c>
      <c r="H41" s="40"/>
      <c r="I41" s="40"/>
      <c r="J41" s="4">
        <f>Pets19314355677991103115[Costo Presupuestado]-Pets19314355677991103115[Costo Real]</f>
        <v>0</v>
      </c>
      <c r="K41" s="19"/>
      <c r="L41" s="19"/>
    </row>
    <row r="42" spans="2:12" x14ac:dyDescent="0.25">
      <c r="B42" s="34" t="s">
        <v>3</v>
      </c>
      <c r="C42" s="41">
        <f>SUBTOTAL(109,Insurance16284052647688100112[Costo Presupuestado])</f>
        <v>500</v>
      </c>
      <c r="D42" s="41">
        <f>SUBTOTAL(109,Insurance16284052647688100112[Costo Real])</f>
        <v>500</v>
      </c>
      <c r="E42" s="41">
        <f>SUBTOTAL(109,Insurance16284052647688100112[Diferencia])</f>
        <v>0</v>
      </c>
      <c r="F42" s="3"/>
      <c r="G42" s="34" t="s">
        <v>3</v>
      </c>
      <c r="H42" s="49">
        <f>SUBTOTAL(109,Pets19314355677991103115[Costo Presupuestado])</f>
        <v>0</v>
      </c>
      <c r="I42" s="49">
        <f>SUBTOTAL(109,Pets19314355677991103115[Costo Real])</f>
        <v>0</v>
      </c>
      <c r="J42" s="49">
        <f>SUBTOTAL(109,Pets19314355677991103115[Diferencia])</f>
        <v>0</v>
      </c>
      <c r="K42" s="19"/>
      <c r="L42" s="19"/>
    </row>
    <row r="43" spans="2:12" ht="25.5" customHeight="1" x14ac:dyDescent="0.25">
      <c r="B43" s="37"/>
      <c r="C43" s="37"/>
      <c r="D43" s="37"/>
      <c r="E43" s="37"/>
      <c r="F43" s="3"/>
      <c r="K43" s="19"/>
      <c r="L43" s="19"/>
    </row>
    <row r="44" spans="2:12" ht="25.5" x14ac:dyDescent="0.25">
      <c r="B44" s="16" t="s">
        <v>26</v>
      </c>
      <c r="C44" s="13" t="s">
        <v>18</v>
      </c>
      <c r="D44" s="13" t="s">
        <v>19</v>
      </c>
      <c r="E44" s="13" t="s">
        <v>8</v>
      </c>
      <c r="F44" s="3"/>
      <c r="G44" s="32" t="s">
        <v>24</v>
      </c>
      <c r="H44" s="13" t="s">
        <v>18</v>
      </c>
      <c r="I44" s="13" t="s">
        <v>19</v>
      </c>
      <c r="J44" s="13" t="s">
        <v>8</v>
      </c>
      <c r="K44" s="19"/>
      <c r="L44" s="19"/>
    </row>
    <row r="45" spans="2:12" x14ac:dyDescent="0.25">
      <c r="B45" s="3" t="s">
        <v>57</v>
      </c>
      <c r="C45" s="40">
        <v>2000</v>
      </c>
      <c r="D45" s="40">
        <v>2500</v>
      </c>
      <c r="E45" s="4">
        <f>Food17294153657789101113[Costo Presupuestado]-Food17294153657789101113[Costo Real]</f>
        <v>-500</v>
      </c>
      <c r="F45" s="3"/>
      <c r="G45" s="3" t="s">
        <v>72</v>
      </c>
      <c r="H45" s="40"/>
      <c r="I45" s="40"/>
      <c r="J45" s="4">
        <f>PersonalCare20324456688092104116[Costo Presupuestado]-PersonalCare20324456688092104116[Costo Real]</f>
        <v>0</v>
      </c>
      <c r="K45" s="19"/>
      <c r="L45" s="19"/>
    </row>
    <row r="46" spans="2:12" x14ac:dyDescent="0.25">
      <c r="B46" s="3" t="s">
        <v>58</v>
      </c>
      <c r="C46" s="40">
        <v>4000</v>
      </c>
      <c r="D46" s="40">
        <v>3000</v>
      </c>
      <c r="E46" s="4">
        <f>Food17294153657789101113[Costo Presupuestado]-Food17294153657789101113[Costo Real]</f>
        <v>1000</v>
      </c>
      <c r="F46" s="3"/>
      <c r="G46" s="3" t="s">
        <v>73</v>
      </c>
      <c r="H46" s="40"/>
      <c r="I46" s="40"/>
      <c r="J46" s="4">
        <f>PersonalCare20324456688092104116[Costo Presupuestado]-PersonalCare20324456688092104116[Costo Real]</f>
        <v>0</v>
      </c>
      <c r="K46" s="19"/>
      <c r="L46" s="19"/>
    </row>
    <row r="47" spans="2:12" x14ac:dyDescent="0.25">
      <c r="B47" s="3" t="s">
        <v>56</v>
      </c>
      <c r="C47" s="40">
        <v>0</v>
      </c>
      <c r="D47" s="40">
        <v>0</v>
      </c>
      <c r="E47" s="4">
        <f>Food17294153657789101113[Costo Presupuestado]-Food17294153657789101113[Costo Real]</f>
        <v>0</v>
      </c>
      <c r="F47" s="3"/>
      <c r="G47" s="3" t="s">
        <v>74</v>
      </c>
      <c r="H47" s="40">
        <v>1000</v>
      </c>
      <c r="I47" s="40">
        <v>600</v>
      </c>
      <c r="J47" s="4">
        <f>PersonalCare20324456688092104116[Costo Presupuestado]-PersonalCare20324456688092104116[Costo Real]</f>
        <v>400</v>
      </c>
      <c r="K47" s="19"/>
      <c r="L47" s="19"/>
    </row>
    <row r="48" spans="2:12" x14ac:dyDescent="0.25">
      <c r="B48" s="34" t="s">
        <v>3</v>
      </c>
      <c r="C48" s="41">
        <f>SUBTOTAL(109,Food17294153657789101113[Costo Presupuestado])</f>
        <v>6000</v>
      </c>
      <c r="D48" s="41">
        <f>SUBTOTAL(109,Food17294153657789101113[Costo Real])</f>
        <v>5500</v>
      </c>
      <c r="E48" s="41">
        <f>SUBTOTAL(109,Food17294153657789101113[Diferencia])</f>
        <v>500</v>
      </c>
      <c r="F48" s="3"/>
      <c r="G48" s="3" t="s">
        <v>75</v>
      </c>
      <c r="H48" s="40"/>
      <c r="I48" s="40"/>
      <c r="J48" s="4">
        <f>PersonalCare20324456688092104116[Costo Presupuestado]-PersonalCare20324456688092104116[Costo Real]</f>
        <v>0</v>
      </c>
      <c r="K48" s="19"/>
      <c r="L48" s="19"/>
    </row>
    <row r="49" spans="2:12" ht="25.5" customHeight="1" x14ac:dyDescent="0.25">
      <c r="B49" s="37"/>
      <c r="C49" s="37"/>
      <c r="D49" s="37"/>
      <c r="E49" s="37"/>
      <c r="F49" s="3"/>
      <c r="G49" s="3" t="s">
        <v>76</v>
      </c>
      <c r="H49" s="40"/>
      <c r="I49" s="40"/>
      <c r="J49" s="4">
        <f>PersonalCare20324456688092104116[Costo Presupuestado]-PersonalCare20324456688092104116[Costo Real]</f>
        <v>0</v>
      </c>
      <c r="K49" s="19"/>
      <c r="L49" s="19"/>
    </row>
    <row r="50" spans="2:12" ht="25.5" customHeight="1" x14ac:dyDescent="0.25">
      <c r="B50" s="16" t="s">
        <v>23</v>
      </c>
      <c r="C50" s="13" t="s">
        <v>18</v>
      </c>
      <c r="D50" s="13" t="s">
        <v>19</v>
      </c>
      <c r="E50" s="13" t="s">
        <v>8</v>
      </c>
      <c r="F50" s="3"/>
      <c r="G50" s="3" t="s">
        <v>64</v>
      </c>
      <c r="H50" s="40"/>
      <c r="I50" s="40"/>
      <c r="J50" s="4">
        <f>PersonalCare20324456688092104116[Costo Presupuestado]-PersonalCare20324456688092104116[Costo Real]</f>
        <v>0</v>
      </c>
      <c r="K50" s="19"/>
      <c r="L50" s="19"/>
    </row>
    <row r="51" spans="2:12" x14ac:dyDescent="0.25">
      <c r="B51" s="21" t="s">
        <v>65</v>
      </c>
      <c r="C51" s="40">
        <v>0</v>
      </c>
      <c r="D51" s="40">
        <v>0</v>
      </c>
      <c r="E51" s="4">
        <f>Children18304254667890102114[Costo Presupuestado]-Children18304254667890102114[Costo Real]</f>
        <v>0</v>
      </c>
      <c r="F51" s="3"/>
      <c r="G51" s="34" t="s">
        <v>3</v>
      </c>
      <c r="H51" s="49">
        <f>SUBTOTAL(109,PersonalCare20324456688092104116[Costo Presupuestado])</f>
        <v>1000</v>
      </c>
      <c r="I51" s="49">
        <f>SUBTOTAL(109,PersonalCare20324456688092104116[Costo Real])</f>
        <v>600</v>
      </c>
      <c r="J51" s="49">
        <f>SUBTOTAL(109,PersonalCare20324456688092104116[Diferencia])</f>
        <v>400</v>
      </c>
      <c r="K51" s="19"/>
      <c r="L51" s="19"/>
    </row>
    <row r="52" spans="2:12" x14ac:dyDescent="0.25">
      <c r="B52" s="21" t="s">
        <v>74</v>
      </c>
      <c r="C52" s="40">
        <v>0</v>
      </c>
      <c r="D52" s="40">
        <v>0</v>
      </c>
      <c r="E52" s="4">
        <f>Children18304254667890102114[Costo Presupuestado]-Children18304254667890102114[Costo Real]</f>
        <v>0</v>
      </c>
      <c r="F52" s="3"/>
      <c r="K52" s="19"/>
      <c r="L52" s="19"/>
    </row>
    <row r="53" spans="2:12" ht="38.25" x14ac:dyDescent="0.25">
      <c r="B53" s="21" t="s">
        <v>59</v>
      </c>
      <c r="C53" s="40">
        <v>0</v>
      </c>
      <c r="D53" s="40">
        <v>0</v>
      </c>
      <c r="E53" s="4">
        <f>Children18304254667890102114[Costo Presupuestado]-Children18304254667890102114[Costo Real]</f>
        <v>0</v>
      </c>
      <c r="F53" s="3"/>
      <c r="G53" s="22" t="s">
        <v>22</v>
      </c>
      <c r="H53" s="13" t="s">
        <v>18</v>
      </c>
      <c r="I53" s="13" t="s">
        <v>19</v>
      </c>
      <c r="J53" s="13" t="s">
        <v>8</v>
      </c>
      <c r="K53" s="19"/>
      <c r="L53" s="19"/>
    </row>
    <row r="54" spans="2:12" ht="25.5" x14ac:dyDescent="0.25">
      <c r="B54" s="21" t="s">
        <v>60</v>
      </c>
      <c r="C54" s="40">
        <v>0</v>
      </c>
      <c r="D54" s="40">
        <v>0</v>
      </c>
      <c r="E54" s="4">
        <f>Children18304254667890102114[Costo Presupuestado]-Children18304254667890102114[Costo Real]</f>
        <v>0</v>
      </c>
      <c r="F54" s="3"/>
      <c r="G54" s="3" t="s">
        <v>5</v>
      </c>
      <c r="H54" s="40"/>
      <c r="I54" s="40"/>
      <c r="J54" s="4">
        <f>Loans22344658708294106118[Costo Presupuestado]-Loans22344658708294106118[Costo Real]</f>
        <v>0</v>
      </c>
      <c r="K54" s="19"/>
      <c r="L54" s="19"/>
    </row>
    <row r="55" spans="2:12" ht="25.5" x14ac:dyDescent="0.25">
      <c r="B55" s="21" t="s">
        <v>4</v>
      </c>
      <c r="C55" s="40">
        <v>0</v>
      </c>
      <c r="D55" s="40">
        <v>0</v>
      </c>
      <c r="E55" s="4">
        <f>Children18304254667890102114[Costo Presupuestado]-Children18304254667890102114[Costo Real]</f>
        <v>0</v>
      </c>
      <c r="F55" s="3"/>
      <c r="G55" s="3" t="s">
        <v>68</v>
      </c>
      <c r="H55" s="40"/>
      <c r="I55" s="40"/>
      <c r="J55" s="4">
        <f>Loans22344658708294106118[Costo Presupuestado]-Loans22344658708294106118[Costo Real]</f>
        <v>0</v>
      </c>
      <c r="K55" s="19"/>
      <c r="L55" s="19"/>
    </row>
    <row r="56" spans="2:12" ht="25.5" x14ac:dyDescent="0.25">
      <c r="B56" s="21" t="s">
        <v>61</v>
      </c>
      <c r="C56" s="40">
        <v>0</v>
      </c>
      <c r="D56" s="40">
        <v>0</v>
      </c>
      <c r="E56" s="4">
        <f>Children18304254667890102114[Costo Presupuestado]-Children18304254667890102114[Costo Real]</f>
        <v>0</v>
      </c>
      <c r="F56" s="3"/>
      <c r="G56" s="3" t="s">
        <v>69</v>
      </c>
      <c r="H56" s="40"/>
      <c r="I56" s="40"/>
      <c r="J56" s="4">
        <f>Loans22344658708294106118[Costo Presupuestado]-Loans22344658708294106118[Costo Real]</f>
        <v>0</v>
      </c>
      <c r="K56" s="19"/>
      <c r="L56" s="19"/>
    </row>
    <row r="57" spans="2:12" x14ac:dyDescent="0.25">
      <c r="B57" s="21" t="s">
        <v>62</v>
      </c>
      <c r="C57" s="40">
        <v>0</v>
      </c>
      <c r="D57" s="40">
        <v>0</v>
      </c>
      <c r="E57" s="4">
        <f>Children18304254667890102114[Costo Presupuestado]-Children18304254667890102114[Costo Real]</f>
        <v>0</v>
      </c>
      <c r="F57" s="3"/>
      <c r="G57" s="3" t="s">
        <v>70</v>
      </c>
      <c r="H57" s="40"/>
      <c r="I57" s="40"/>
      <c r="J57" s="4">
        <f>Loans22344658708294106118[Costo Presupuestado]-Loans22344658708294106118[Costo Real]</f>
        <v>0</v>
      </c>
      <c r="K57" s="19"/>
      <c r="L57" s="19"/>
    </row>
    <row r="58" spans="2:12" x14ac:dyDescent="0.25">
      <c r="B58" s="21" t="s">
        <v>63</v>
      </c>
      <c r="C58" s="40">
        <v>0</v>
      </c>
      <c r="D58" s="40">
        <v>0</v>
      </c>
      <c r="E58" s="4">
        <f>Children18304254667890102114[Costo Presupuestado]-Children18304254667890102114[Costo Real]</f>
        <v>0</v>
      </c>
      <c r="F58" s="3"/>
      <c r="G58" s="3" t="s">
        <v>71</v>
      </c>
      <c r="H58" s="40"/>
      <c r="I58" s="40"/>
      <c r="J58" s="4">
        <f>Loans22344658708294106118[Costo Presupuestado]-Loans22344658708294106118[Costo Real]</f>
        <v>0</v>
      </c>
      <c r="K58" s="19"/>
      <c r="L58" s="19"/>
    </row>
    <row r="59" spans="2:12" x14ac:dyDescent="0.25">
      <c r="B59" s="21" t="s">
        <v>64</v>
      </c>
      <c r="C59" s="40">
        <v>0</v>
      </c>
      <c r="D59" s="40">
        <v>0</v>
      </c>
      <c r="E59" s="4">
        <f>Children18304254667890102114[Costo Presupuestado]-Children18304254667890102114[Costo Real]</f>
        <v>0</v>
      </c>
      <c r="F59" s="3"/>
      <c r="G59" s="3" t="s">
        <v>64</v>
      </c>
      <c r="H59" s="40"/>
      <c r="I59" s="40"/>
      <c r="J59" s="4">
        <f>Loans22344658708294106118[Costo Presupuestado]-Loans22344658708294106118[Costo Real]</f>
        <v>0</v>
      </c>
      <c r="K59" s="19"/>
      <c r="L59" s="19"/>
    </row>
    <row r="60" spans="2:12" x14ac:dyDescent="0.25">
      <c r="B60" s="34" t="s">
        <v>3</v>
      </c>
      <c r="C60" s="41">
        <f>SUBTOTAL(109,Children18304254667890102114[Costo Presupuestado])</f>
        <v>0</v>
      </c>
      <c r="D60" s="41">
        <f>SUBTOTAL(109,Children18304254667890102114[Costo Real])</f>
        <v>0</v>
      </c>
      <c r="E60" s="41">
        <f>SUBTOTAL(109,Children18304254667890102114[Diferencia])</f>
        <v>0</v>
      </c>
      <c r="F60" s="3"/>
      <c r="G60" s="34" t="s">
        <v>3</v>
      </c>
      <c r="H60" s="49">
        <f>SUBTOTAL(109,Loans22344658708294106118[Costo Presupuestado])</f>
        <v>0</v>
      </c>
      <c r="I60" s="49">
        <f>SUBTOTAL(109,Loans22344658708294106118[Costo Real])</f>
        <v>0</v>
      </c>
      <c r="J60" s="49">
        <f>SUBTOTAL(109,Loans22344658708294106118[Diferencia])</f>
        <v>0</v>
      </c>
      <c r="K60" s="19"/>
      <c r="L60" s="19"/>
    </row>
    <row r="61" spans="2:12" x14ac:dyDescent="0.25">
      <c r="F61" s="3"/>
      <c r="K61" s="19"/>
      <c r="L61" s="19"/>
    </row>
    <row r="62" spans="2:12" ht="25.5" x14ac:dyDescent="0.25">
      <c r="F62" s="3"/>
      <c r="G62" s="15" t="s">
        <v>21</v>
      </c>
      <c r="H62" s="13" t="s">
        <v>18</v>
      </c>
      <c r="I62" s="13" t="s">
        <v>19</v>
      </c>
      <c r="J62" s="13" t="s">
        <v>8</v>
      </c>
      <c r="K62" s="19"/>
      <c r="L62" s="19"/>
    </row>
    <row r="63" spans="2:12" x14ac:dyDescent="0.25">
      <c r="F63" s="3"/>
      <c r="G63" s="3" t="s">
        <v>66</v>
      </c>
      <c r="H63" s="40"/>
      <c r="I63" s="40"/>
      <c r="J63" s="4">
        <f>Legal25374961738597109121[Costo Presupuestado]-Legal25374961738597109121[Costo Real]</f>
        <v>0</v>
      </c>
      <c r="K63" s="19"/>
      <c r="L63" s="19"/>
    </row>
    <row r="64" spans="2:12" x14ac:dyDescent="0.25">
      <c r="F64" s="3"/>
      <c r="G64" s="3" t="s">
        <v>67</v>
      </c>
      <c r="H64" s="40"/>
      <c r="I64" s="40"/>
      <c r="J64" s="4">
        <f>Legal25374961738597109121[Costo Presupuestado]-Legal25374961738597109121[Costo Real]</f>
        <v>0</v>
      </c>
      <c r="K64" s="19"/>
      <c r="L64" s="19"/>
    </row>
    <row r="65" spans="6:12" x14ac:dyDescent="0.25">
      <c r="F65" s="3"/>
      <c r="G65" s="3" t="s">
        <v>64</v>
      </c>
      <c r="H65" s="40"/>
      <c r="I65" s="40"/>
      <c r="J65" s="4">
        <f>Legal25374961738597109121[Costo Presupuestado]-Legal25374961738597109121[Costo Real]</f>
        <v>0</v>
      </c>
      <c r="K65" s="19"/>
      <c r="L65" s="19"/>
    </row>
    <row r="66" spans="6:12" x14ac:dyDescent="0.25">
      <c r="F66" s="3"/>
      <c r="G66" s="34" t="s">
        <v>3</v>
      </c>
      <c r="H66" s="41">
        <f>SUBTOTAL(109,Legal25374961738597109121[Costo Presupuestado])</f>
        <v>0</v>
      </c>
      <c r="I66" s="41">
        <f>SUBTOTAL(109,Legal25374961738597109121[Costo Real])</f>
        <v>0</v>
      </c>
      <c r="J66" s="41">
        <f>SUBTOTAL(109,Legal25374961738597109121[Diferencia])</f>
        <v>0</v>
      </c>
      <c r="K66" s="19"/>
      <c r="L66" s="19"/>
    </row>
    <row r="67" spans="6:12" x14ac:dyDescent="0.25">
      <c r="F67" s="3"/>
      <c r="K67" s="19"/>
      <c r="L67" s="19"/>
    </row>
    <row r="68" spans="6:12" x14ac:dyDescent="0.25">
      <c r="F68" s="3"/>
      <c r="K68" s="19"/>
      <c r="L68" s="19"/>
    </row>
    <row r="69" spans="6:12" x14ac:dyDescent="0.25">
      <c r="F69" s="3"/>
      <c r="K69" s="19"/>
      <c r="L69" s="19"/>
    </row>
    <row r="70" spans="6:12" x14ac:dyDescent="0.25">
      <c r="K70" s="19"/>
      <c r="L70" s="19"/>
    </row>
  </sheetData>
  <mergeCells count="6">
    <mergeCell ref="B1:H1"/>
    <mergeCell ref="B3:C3"/>
    <mergeCell ref="G3:H3"/>
    <mergeCell ref="G9:H9"/>
    <mergeCell ref="Q11:R11"/>
    <mergeCell ref="Q17:R17"/>
  </mergeCells>
  <conditionalFormatting sqref="J54:J59 J37:J41 J31:J33 J21:J27 E15:E24 E51:E59 E45:E47 E38:E41 H17 E28:E34 J63:J65 J45:J50 E7:E11">
    <cfRule type="iconSet" priority="1">
      <iconSet iconSet="3Arrows">
        <cfvo type="percentile" val="0"/>
        <cfvo type="num" val="-50"/>
        <cfvo type="num" val="50"/>
      </iconSet>
    </cfRule>
  </conditionalFormatting>
  <conditionalFormatting sqref="E15:E24">
    <cfRule type="iconSet" priority="2">
      <iconSet iconSet="4Arrows">
        <cfvo type="percent" val="0"/>
        <cfvo type="percent" val="25"/>
        <cfvo type="percent" val="50"/>
        <cfvo type="percent" val="75"/>
      </iconSet>
    </cfRule>
  </conditionalFormatting>
  <pageMargins left="0.7" right="0.7" top="0.75" bottom="0.75" header="0.3" footer="0.3"/>
  <drawing r:id="rId1"/>
  <tableParts count="1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0"/>
  <sheetViews>
    <sheetView workbookViewId="0">
      <selection activeCell="F3" sqref="F3"/>
    </sheetView>
  </sheetViews>
  <sheetFormatPr defaultRowHeight="15" x14ac:dyDescent="0.25"/>
  <cols>
    <col min="1" max="1" width="5" style="17" customWidth="1"/>
    <col min="2" max="2" width="17.42578125" style="17" customWidth="1"/>
    <col min="3" max="3" width="17.5703125" style="17" bestFit="1" customWidth="1"/>
    <col min="4" max="4" width="14" style="17" bestFit="1" customWidth="1"/>
    <col min="5" max="5" width="13" style="17" customWidth="1"/>
    <col min="6" max="6" width="5.5703125" style="17" customWidth="1"/>
    <col min="7" max="7" width="15.42578125" style="17" customWidth="1"/>
    <col min="8" max="8" width="14.7109375" style="17" bestFit="1" customWidth="1"/>
    <col min="9" max="9" width="12" style="17" bestFit="1" customWidth="1"/>
    <col min="10" max="10" width="10.85546875" style="17" bestFit="1" customWidth="1"/>
    <col min="11" max="16384" width="9.140625" style="17"/>
  </cols>
  <sheetData>
    <row r="1" spans="1:18" ht="62.25" customHeight="1" x14ac:dyDescent="0.3">
      <c r="A1" s="19"/>
      <c r="B1" s="51"/>
      <c r="C1" s="51"/>
      <c r="D1" s="51"/>
      <c r="E1" s="51"/>
      <c r="F1" s="51"/>
      <c r="G1" s="51"/>
      <c r="H1" s="51"/>
      <c r="I1" s="1"/>
      <c r="J1" s="1"/>
      <c r="K1" s="19"/>
      <c r="L1" s="19"/>
    </row>
    <row r="2" spans="1:18" ht="18.75" customHeight="1" thickBot="1" x14ac:dyDescent="0.3">
      <c r="A2" s="19"/>
      <c r="B2" s="38"/>
      <c r="C2" s="38"/>
      <c r="D2" s="38"/>
      <c r="E2" s="38"/>
      <c r="F2" s="38"/>
      <c r="G2" s="38"/>
      <c r="H2" s="38"/>
      <c r="I2" s="38"/>
      <c r="J2" s="38"/>
      <c r="K2" s="19"/>
      <c r="L2" s="19"/>
    </row>
    <row r="3" spans="1:18" ht="26.25" thickBot="1" x14ac:dyDescent="0.3">
      <c r="B3" s="52" t="s">
        <v>6</v>
      </c>
      <c r="C3" s="53"/>
      <c r="D3" s="23" t="s">
        <v>7</v>
      </c>
      <c r="E3" s="24" t="s">
        <v>8</v>
      </c>
      <c r="F3" s="2"/>
      <c r="G3" s="54" t="s">
        <v>9</v>
      </c>
      <c r="H3" s="55"/>
      <c r="I3" s="2"/>
      <c r="J3" s="2"/>
      <c r="K3" s="19"/>
      <c r="L3" s="19"/>
      <c r="Q3" s="19"/>
      <c r="R3" s="19"/>
    </row>
    <row r="4" spans="1:18" ht="15.75" thickBot="1" x14ac:dyDescent="0.3">
      <c r="B4" s="25"/>
      <c r="C4" s="50">
        <f>Housing1126385062748698110122[[#Totals],[Costo Presupuestado]]+Transportation1527395163758799111123[[#Totals],[Costo Presupuestado]]+Insurance16284052647688100112124[[#Totals],[Costo Presupuestado]]+Food17294153657789101113125[[#Totals],[Costo Presupuestado]]+Children18304254667890102114126[[#Totals],[Costo Presupuestado]]+Legal25374961738597109121133[[#Totals],[Costo Presupuestado]]+Savings23354759718395107119131[[#Totals],[Costo Presupuestado]]+Loans22344658708294106118130[[#Totals],[Costo Presupuestado]]+Entertainment21334557698193105117129[[#Totals],[Costo Presupuestado]]+PersonalCare20324456688092104116128[[#Totals],[Costo Presupuestado]]+Pets19314355677991103115127[[#Totals],[Costo Presupuestado]]+Gifts24364860728496108120132[[#Totals],[Costo Presupuestado]]</f>
        <v>44250</v>
      </c>
      <c r="D4" s="50">
        <f>Housing1126385062748698110122[[#Totals],[Costo Real]]+Transportation1527395163758799111123[[#Totals],[Costo Real]]+Insurance16284052647688100112124[[#Totals],[Costo Real]]+Food17294153657789101113125[[#Totals],[Costo Real]]+Children18304254667890102114126[[#Totals],[Costo Real]]+Legal25374961738597109121133[[#Totals],[Costo Real]]+Savings23354759718395107119131[[#Totals],[Costo Real]]+Loans22344658708294106118130[[#Totals],[Costo Real]]+Entertainment21334557698193105117129[[#Totals],[Costo Real]]+PersonalCare20324456688092104116128[[#Totals],[Costo Real]]+Pets19314355677991103115127[[#Totals],[Costo Real]]+Gifts24364860728496108120132[[#Totals],[Costo Real]]</f>
        <v>39844</v>
      </c>
      <c r="E4" s="45">
        <f>Housing1126385062748698110122[[#Totals],[Diferencia]]+Transportation1527395163758799111123[[#Totals],[Diferencia]]+Insurance16284052647688100112124[[#Totals],[Diferencia]]+Food17294153657789101113125[[#Totals],[Diferencia]]+Children18304254667890102114126[[#Totals],[Diferencia]]+Legal25374961738597109121133[[#Totals],[Diferencia]]+Savings23354759718395107119131[[#Totals],[Diferencia]]+Loans22344658708294106118130[[#Totals],[Diferencia]]+Entertainment21334557698193105117129[[#Totals],[Diferencia]]+PersonalCare20324456688092104116128[[#Totals],[Diferencia]]+Pets19314355677991103115127[[#Totals],[Diferencia]]+Gifts24364860728496108120132[[#Totals],[Diferencia]]</f>
        <v>4406</v>
      </c>
      <c r="F4" s="2"/>
      <c r="G4" s="39" t="s">
        <v>10</v>
      </c>
      <c r="H4" s="48">
        <v>50000</v>
      </c>
      <c r="I4" s="2"/>
      <c r="J4" s="2"/>
      <c r="K4" s="19"/>
      <c r="L4" s="19"/>
      <c r="Q4" s="19"/>
      <c r="R4" s="19"/>
    </row>
    <row r="5" spans="1:18" ht="25.5" x14ac:dyDescent="0.25">
      <c r="F5" s="3"/>
      <c r="G5" s="26" t="s">
        <v>11</v>
      </c>
      <c r="H5" s="46">
        <v>5000</v>
      </c>
      <c r="I5" s="3"/>
      <c r="J5" s="3"/>
      <c r="K5" s="19"/>
      <c r="L5" s="19"/>
      <c r="Q5" s="19"/>
      <c r="R5" s="19"/>
    </row>
    <row r="6" spans="1:18" ht="25.5" x14ac:dyDescent="0.25">
      <c r="B6" s="33" t="s">
        <v>20</v>
      </c>
      <c r="C6" s="13" t="s">
        <v>18</v>
      </c>
      <c r="D6" s="13" t="s">
        <v>19</v>
      </c>
      <c r="E6" s="13" t="s">
        <v>8</v>
      </c>
      <c r="F6" s="3"/>
      <c r="G6" s="26" t="s">
        <v>12</v>
      </c>
      <c r="H6" s="46">
        <v>0</v>
      </c>
      <c r="I6" s="3"/>
      <c r="J6" s="3"/>
      <c r="K6" s="19"/>
      <c r="L6" s="19"/>
      <c r="Q6" s="19"/>
      <c r="R6" s="19"/>
    </row>
    <row r="7" spans="1:18" ht="26.25" thickBot="1" x14ac:dyDescent="0.3">
      <c r="B7" s="3" t="s">
        <v>77</v>
      </c>
      <c r="C7" s="40">
        <v>5000</v>
      </c>
      <c r="D7" s="40">
        <v>5000</v>
      </c>
      <c r="E7" s="40">
        <f>Savings23354759718395107119131[Costo Presupuestado]-Savings23354759718395107119131[Costo Real]</f>
        <v>0</v>
      </c>
      <c r="F7" s="3"/>
      <c r="G7" s="27" t="s">
        <v>13</v>
      </c>
      <c r="H7" s="47">
        <f>SUM(H4:H6)</f>
        <v>55000</v>
      </c>
      <c r="I7" s="3"/>
      <c r="J7" s="3"/>
      <c r="K7" s="19"/>
      <c r="L7" s="19"/>
      <c r="Q7" s="19"/>
      <c r="R7" s="19"/>
    </row>
    <row r="8" spans="1:18" ht="15.75" thickBot="1" x14ac:dyDescent="0.3">
      <c r="B8" s="3" t="s">
        <v>78</v>
      </c>
      <c r="C8" s="40"/>
      <c r="D8" s="40"/>
      <c r="E8" s="40">
        <f>Savings23354759718395107119131[Costo Presupuestado]-Savings23354759718395107119131[Costo Real]</f>
        <v>0</v>
      </c>
      <c r="F8" s="3"/>
      <c r="G8" s="5"/>
      <c r="H8" s="6"/>
      <c r="I8" s="18"/>
      <c r="J8" s="18"/>
      <c r="K8" s="19"/>
      <c r="L8" s="19"/>
      <c r="Q8" s="19"/>
      <c r="R8" s="19"/>
    </row>
    <row r="9" spans="1:18" ht="25.5" x14ac:dyDescent="0.25">
      <c r="B9" s="3" t="s">
        <v>81</v>
      </c>
      <c r="C9" s="40"/>
      <c r="D9" s="40"/>
      <c r="E9" s="40">
        <f>Savings23354759718395107119131[Costo Presupuestado]-Savings23354759718395107119131[Costo Real]</f>
        <v>0</v>
      </c>
      <c r="F9" s="3"/>
      <c r="G9" s="56" t="s">
        <v>14</v>
      </c>
      <c r="H9" s="57"/>
      <c r="I9" s="3"/>
      <c r="J9" s="3"/>
      <c r="K9" s="19" t="s">
        <v>0</v>
      </c>
      <c r="L9" s="19"/>
      <c r="Q9" s="19"/>
      <c r="R9" s="19"/>
    </row>
    <row r="10" spans="1:18" x14ac:dyDescent="0.25">
      <c r="B10" s="36" t="s">
        <v>80</v>
      </c>
      <c r="C10" s="42"/>
      <c r="D10" s="42"/>
      <c r="E10" s="40">
        <f>Savings23354759718395107119131[Costo Presupuestado]-Savings23354759718395107119131[Costo Real]</f>
        <v>0</v>
      </c>
      <c r="F10" s="3"/>
      <c r="G10" s="26" t="s">
        <v>10</v>
      </c>
      <c r="H10" s="46">
        <v>48000</v>
      </c>
      <c r="I10" s="3"/>
      <c r="J10" s="3"/>
      <c r="K10" s="19"/>
      <c r="L10" s="19"/>
      <c r="Q10" s="19"/>
      <c r="R10" s="19"/>
    </row>
    <row r="11" spans="1:18" ht="25.5" x14ac:dyDescent="0.25">
      <c r="B11" s="3" t="s">
        <v>79</v>
      </c>
      <c r="C11" s="40"/>
      <c r="D11" s="40"/>
      <c r="E11" s="40">
        <f>Savings23354759718395107119131[Costo Presupuestado]-Savings23354759718395107119131[Costo Real]</f>
        <v>0</v>
      </c>
      <c r="F11" s="3"/>
      <c r="G11" s="26" t="s">
        <v>11</v>
      </c>
      <c r="H11" s="46">
        <v>4500</v>
      </c>
      <c r="I11" s="3"/>
      <c r="J11" s="3"/>
      <c r="K11" s="19"/>
      <c r="L11" s="19"/>
      <c r="Q11" s="58"/>
      <c r="R11" s="58"/>
    </row>
    <row r="12" spans="1:18" x14ac:dyDescent="0.25">
      <c r="B12" s="34" t="s">
        <v>3</v>
      </c>
      <c r="C12" s="41">
        <f>SUBTOTAL(109,Savings23354759718395107119131[Costo Presupuestado])</f>
        <v>5000</v>
      </c>
      <c r="D12" s="41">
        <f>SUBTOTAL(109,Savings23354759718395107119131[Costo Real])</f>
        <v>5000</v>
      </c>
      <c r="E12" s="41">
        <f>SUBTOTAL(109,Savings23354759718395107119131[Diferencia])</f>
        <v>0</v>
      </c>
      <c r="F12" s="3"/>
      <c r="G12" s="26" t="s">
        <v>12</v>
      </c>
      <c r="H12" s="46">
        <v>0</v>
      </c>
      <c r="I12" s="3"/>
      <c r="J12" s="3"/>
      <c r="K12" s="19"/>
      <c r="L12" s="19"/>
      <c r="Q12" s="7"/>
      <c r="R12" s="8"/>
    </row>
    <row r="13" spans="1:18" ht="26.25" thickBot="1" x14ac:dyDescent="0.3">
      <c r="F13" s="3"/>
      <c r="G13" s="27" t="s">
        <v>13</v>
      </c>
      <c r="H13" s="47">
        <f>SUM(H10:H12)</f>
        <v>52500</v>
      </c>
      <c r="I13" s="3"/>
      <c r="J13" s="3"/>
      <c r="K13" s="19"/>
      <c r="L13" s="19"/>
      <c r="Q13" s="7"/>
      <c r="R13" s="8"/>
    </row>
    <row r="14" spans="1:18" ht="26.25" thickBot="1" x14ac:dyDescent="0.3">
      <c r="B14" s="12" t="s">
        <v>17</v>
      </c>
      <c r="C14" s="13" t="s">
        <v>18</v>
      </c>
      <c r="D14" s="13" t="s">
        <v>19</v>
      </c>
      <c r="E14" s="13" t="s">
        <v>8</v>
      </c>
      <c r="F14" s="3"/>
      <c r="G14" s="2"/>
      <c r="H14" s="2"/>
      <c r="I14" s="3"/>
      <c r="J14" s="3"/>
      <c r="K14" s="19"/>
      <c r="L14" s="19"/>
      <c r="Q14" s="7"/>
      <c r="R14" s="8"/>
    </row>
    <row r="15" spans="1:18" ht="25.5" x14ac:dyDescent="0.25">
      <c r="B15" s="3" t="s">
        <v>36</v>
      </c>
      <c r="C15" s="40">
        <v>16000</v>
      </c>
      <c r="D15" s="40">
        <v>16000</v>
      </c>
      <c r="E15" s="4">
        <f>Housing1126385062748698110122[Costo Presupuestado]-Housing1126385062748698110122[Costo Real]</f>
        <v>0</v>
      </c>
      <c r="F15" s="3"/>
      <c r="G15" s="29" t="s">
        <v>15</v>
      </c>
      <c r="H15" s="43">
        <f>SUM(H7-C4)</f>
        <v>10750</v>
      </c>
      <c r="I15" s="3"/>
      <c r="J15" s="3"/>
      <c r="K15" s="19"/>
      <c r="L15" s="19"/>
      <c r="Q15" s="7"/>
      <c r="R15" s="8"/>
    </row>
    <row r="16" spans="1:18" ht="25.5" customHeight="1" x14ac:dyDescent="0.25">
      <c r="B16" s="3" t="s">
        <v>37</v>
      </c>
      <c r="C16" s="40">
        <v>0</v>
      </c>
      <c r="D16" s="40">
        <v>0</v>
      </c>
      <c r="E16" s="4">
        <f>Housing1126385062748698110122[Costo Presupuestado]-Housing1126385062748698110122[Costo Real]</f>
        <v>0</v>
      </c>
      <c r="F16" s="3"/>
      <c r="G16" s="30" t="s">
        <v>16</v>
      </c>
      <c r="H16" s="44">
        <f>SUM(H13-D4)</f>
        <v>12656</v>
      </c>
      <c r="I16" s="3"/>
      <c r="J16" s="3"/>
      <c r="K16" s="19"/>
      <c r="L16" s="19"/>
      <c r="Q16" s="10"/>
      <c r="R16" s="2"/>
    </row>
    <row r="17" spans="2:18" ht="15.75" thickBot="1" x14ac:dyDescent="0.3">
      <c r="B17" s="3" t="s">
        <v>38</v>
      </c>
      <c r="C17" s="40">
        <v>0</v>
      </c>
      <c r="D17" s="40">
        <v>0</v>
      </c>
      <c r="E17" s="4">
        <f>Housing1126385062748698110122[Costo Presupuestado]-Housing1126385062748698110122[Costo Real]</f>
        <v>0</v>
      </c>
      <c r="F17" s="3"/>
      <c r="G17" s="31" t="s">
        <v>8</v>
      </c>
      <c r="H17" s="45">
        <f>SUM(H16-H15)</f>
        <v>1906</v>
      </c>
      <c r="I17" s="3"/>
      <c r="J17" s="3"/>
      <c r="K17" s="19"/>
      <c r="L17" s="19"/>
      <c r="Q17" s="58"/>
      <c r="R17" s="58"/>
    </row>
    <row r="18" spans="2:18" x14ac:dyDescent="0.25">
      <c r="B18" s="3" t="s">
        <v>31</v>
      </c>
      <c r="C18" s="40">
        <v>200</v>
      </c>
      <c r="D18" s="40">
        <v>200</v>
      </c>
      <c r="E18" s="4">
        <f>Housing1126385062748698110122[Costo Presupuestado]-Housing1126385062748698110122[Costo Real]</f>
        <v>0</v>
      </c>
      <c r="F18" s="3"/>
      <c r="G18" s="3"/>
      <c r="H18" s="3"/>
      <c r="I18" s="3"/>
      <c r="J18" s="3"/>
      <c r="K18" s="19"/>
      <c r="L18" s="19"/>
      <c r="Q18" s="7"/>
      <c r="R18" s="8"/>
    </row>
    <row r="19" spans="2:18" x14ac:dyDescent="0.25">
      <c r="B19" s="3" t="s">
        <v>32</v>
      </c>
      <c r="C19" s="40">
        <v>100</v>
      </c>
      <c r="D19" s="40">
        <v>100</v>
      </c>
      <c r="E19" s="4">
        <f>Housing1126385062748698110122[Costo Presupuestado]-Housing1126385062748698110122[Costo Real]</f>
        <v>0</v>
      </c>
      <c r="F19" s="3"/>
      <c r="G19" s="18"/>
      <c r="H19" s="18"/>
      <c r="I19" s="18"/>
      <c r="J19" s="18"/>
      <c r="K19" s="19"/>
      <c r="L19" s="19"/>
      <c r="Q19" s="7"/>
      <c r="R19" s="8"/>
    </row>
    <row r="20" spans="2:18" ht="25.5" x14ac:dyDescent="0.25">
      <c r="B20" s="3" t="s">
        <v>33</v>
      </c>
      <c r="C20" s="40">
        <v>0</v>
      </c>
      <c r="D20" s="40">
        <v>0</v>
      </c>
      <c r="E20" s="4">
        <f>Housing1126385062748698110122[Costo Presupuestado]-Housing1126385062748698110122[Costo Real]</f>
        <v>0</v>
      </c>
      <c r="F20" s="3"/>
      <c r="G20" s="14" t="s">
        <v>29</v>
      </c>
      <c r="H20" s="13" t="s">
        <v>18</v>
      </c>
      <c r="I20" s="13" t="s">
        <v>19</v>
      </c>
      <c r="J20" s="13" t="s">
        <v>8</v>
      </c>
      <c r="K20" s="19"/>
      <c r="L20" s="19"/>
      <c r="Q20" s="7"/>
      <c r="R20" s="8"/>
    </row>
    <row r="21" spans="2:18" ht="25.5" x14ac:dyDescent="0.25">
      <c r="B21" s="3" t="s">
        <v>1</v>
      </c>
      <c r="C21" s="40">
        <v>1000</v>
      </c>
      <c r="D21" s="40">
        <v>900</v>
      </c>
      <c r="E21" s="4">
        <f>Housing1126385062748698110122[Costo Presupuestado]-Housing1126385062748698110122[Costo Real]</f>
        <v>100</v>
      </c>
      <c r="F21" s="3"/>
      <c r="G21" s="3" t="s">
        <v>87</v>
      </c>
      <c r="H21" s="40">
        <v>0</v>
      </c>
      <c r="I21" s="40">
        <v>0</v>
      </c>
      <c r="J21" s="4">
        <f>Entertainment21334557698193105117129[Costo Presupuestado]-Entertainment21334557698193105117129[Costo Real]</f>
        <v>0</v>
      </c>
      <c r="K21" s="19"/>
      <c r="L21" s="19"/>
      <c r="Q21" s="7"/>
      <c r="R21" s="8"/>
    </row>
    <row r="22" spans="2:18" ht="25.5" customHeight="1" x14ac:dyDescent="0.25">
      <c r="B22" s="3" t="s">
        <v>2</v>
      </c>
      <c r="C22" s="40">
        <v>450</v>
      </c>
      <c r="D22" s="40">
        <v>400</v>
      </c>
      <c r="E22" s="4">
        <f>Housing1126385062748698110122[Costo Presupuestado]-Housing1126385062748698110122[Costo Real]</f>
        <v>50</v>
      </c>
      <c r="F22" s="3"/>
      <c r="G22" s="3" t="s">
        <v>86</v>
      </c>
      <c r="H22" s="40">
        <v>5000</v>
      </c>
      <c r="I22" s="40">
        <v>4000</v>
      </c>
      <c r="J22" s="4">
        <f>Entertainment21334557698193105117129[Costo Presupuestado]-Entertainment21334557698193105117129[Costo Real]</f>
        <v>1000</v>
      </c>
      <c r="K22" s="19"/>
      <c r="L22" s="19"/>
      <c r="Q22" s="2"/>
      <c r="R22" s="2"/>
    </row>
    <row r="23" spans="2:18" x14ac:dyDescent="0.25">
      <c r="B23" s="3" t="s">
        <v>34</v>
      </c>
      <c r="C23" s="40">
        <v>1800</v>
      </c>
      <c r="D23" s="40">
        <v>1600</v>
      </c>
      <c r="E23" s="9">
        <f>Housing1126385062748698110122[Costo Presupuestado]-Housing1126385062748698110122[Costo Real]</f>
        <v>200</v>
      </c>
      <c r="F23" s="3"/>
      <c r="G23" s="3" t="s">
        <v>82</v>
      </c>
      <c r="H23" s="40">
        <v>700</v>
      </c>
      <c r="I23" s="40">
        <v>1000</v>
      </c>
      <c r="J23" s="4">
        <f>Entertainment21334557698193105117129[Costo Presupuestado]-Entertainment21334557698193105117129[Costo Real]</f>
        <v>-300</v>
      </c>
      <c r="K23" s="19"/>
      <c r="L23" s="19"/>
      <c r="Q23" s="20"/>
      <c r="R23" s="11"/>
    </row>
    <row r="24" spans="2:18" x14ac:dyDescent="0.25">
      <c r="B24" s="3" t="s">
        <v>35</v>
      </c>
      <c r="C24" s="40">
        <v>500</v>
      </c>
      <c r="D24" s="40">
        <v>44</v>
      </c>
      <c r="E24" s="4">
        <f>Housing1126385062748698110122[Costo Presupuestado]-Housing1126385062748698110122[Costo Real]</f>
        <v>456</v>
      </c>
      <c r="F24" s="3"/>
      <c r="G24" s="3" t="s">
        <v>83</v>
      </c>
      <c r="H24" s="40">
        <v>0</v>
      </c>
      <c r="I24" s="40">
        <v>0</v>
      </c>
      <c r="J24" s="4">
        <f>Entertainment21334557698193105117129[Costo Presupuestado]-Entertainment21334557698193105117129[Costo Real]</f>
        <v>0</v>
      </c>
      <c r="K24" s="19"/>
      <c r="L24" s="19"/>
    </row>
    <row r="25" spans="2:18" ht="25.5" x14ac:dyDescent="0.25">
      <c r="B25" s="21" t="s">
        <v>3</v>
      </c>
      <c r="C25" s="40">
        <f>SUBTOTAL(109,Housing1126385062748698110122[Costo Presupuestado])</f>
        <v>20050</v>
      </c>
      <c r="D25" s="40">
        <f>SUBTOTAL(109,Housing1126385062748698110122[Costo Real])</f>
        <v>19244</v>
      </c>
      <c r="E25" s="40">
        <f>SUBTOTAL(109,Housing1126385062748698110122[Diferencia])</f>
        <v>806</v>
      </c>
      <c r="F25" s="3"/>
      <c r="G25" s="3" t="s">
        <v>84</v>
      </c>
      <c r="H25" s="40">
        <v>0</v>
      </c>
      <c r="I25" s="40">
        <v>0</v>
      </c>
      <c r="J25" s="4">
        <f>Entertainment21334557698193105117129[Costo Presupuestado]-Entertainment21334557698193105117129[Costo Real]</f>
        <v>0</v>
      </c>
      <c r="K25" s="19"/>
      <c r="L25" s="19"/>
    </row>
    <row r="26" spans="2:18" x14ac:dyDescent="0.25">
      <c r="B26" s="37"/>
      <c r="C26" s="37"/>
      <c r="D26" s="37"/>
      <c r="E26" s="37"/>
      <c r="F26" s="3"/>
      <c r="G26" s="3" t="s">
        <v>85</v>
      </c>
      <c r="H26" s="40">
        <v>0</v>
      </c>
      <c r="I26" s="40">
        <v>0</v>
      </c>
      <c r="J26" s="4">
        <f>Entertainment21334557698193105117129[Costo Presupuestado]-Entertainment21334557698193105117129[Costo Real]</f>
        <v>0</v>
      </c>
      <c r="K26" s="19"/>
      <c r="L26" s="19"/>
    </row>
    <row r="27" spans="2:18" ht="25.5" x14ac:dyDescent="0.25">
      <c r="B27" s="28" t="s">
        <v>30</v>
      </c>
      <c r="C27" s="13" t="s">
        <v>18</v>
      </c>
      <c r="D27" s="13" t="s">
        <v>19</v>
      </c>
      <c r="E27" s="13" t="s">
        <v>8</v>
      </c>
      <c r="F27" s="3"/>
      <c r="G27" s="3" t="s">
        <v>64</v>
      </c>
      <c r="H27" s="40"/>
      <c r="I27" s="40"/>
      <c r="J27" s="4">
        <f>Entertainment21334557698193105117129[Costo Presupuestado]-Entertainment21334557698193105117129[Costo Real]</f>
        <v>0</v>
      </c>
      <c r="K27" s="19"/>
      <c r="L27" s="19"/>
    </row>
    <row r="28" spans="2:18" ht="25.5" x14ac:dyDescent="0.25">
      <c r="B28" s="3" t="s">
        <v>43</v>
      </c>
      <c r="C28" s="40">
        <v>0</v>
      </c>
      <c r="D28" s="40">
        <v>0</v>
      </c>
      <c r="E28" s="4">
        <f>Transportation1527395163758799111123[Costo Presupuestado]-Transportation1527395163758799111123[Costo Real]</f>
        <v>0</v>
      </c>
      <c r="F28" s="3"/>
      <c r="G28" s="34" t="s">
        <v>3</v>
      </c>
      <c r="H28" s="35">
        <f>SUBTOTAL(109,Entertainment21334557698193105117129[Costo Presupuestado])</f>
        <v>5700</v>
      </c>
      <c r="I28" s="35">
        <f>SUBTOTAL(109,Entertainment21334557698193105117129[Costo Real])</f>
        <v>5000</v>
      </c>
      <c r="J28" s="35">
        <f>SUBTOTAL(109,Entertainment21334557698193105117129[Diferencia])</f>
        <v>700</v>
      </c>
      <c r="K28" s="19"/>
      <c r="L28" s="19"/>
    </row>
    <row r="29" spans="2:18" ht="25.5" x14ac:dyDescent="0.25">
      <c r="B29" s="3" t="s">
        <v>44</v>
      </c>
      <c r="C29" s="40">
        <v>0</v>
      </c>
      <c r="D29" s="40">
        <v>0</v>
      </c>
      <c r="E29" s="4">
        <f>Transportation1527395163758799111123[Costo Presupuestado]-Transportation1527395163758799111123[Costo Real]</f>
        <v>0</v>
      </c>
      <c r="F29" s="3"/>
      <c r="K29" s="19"/>
      <c r="L29" s="19"/>
    </row>
    <row r="30" spans="2:18" ht="25.5" x14ac:dyDescent="0.25">
      <c r="B30" s="3" t="s">
        <v>39</v>
      </c>
      <c r="C30" s="40">
        <v>0</v>
      </c>
      <c r="D30" s="40">
        <v>0</v>
      </c>
      <c r="E30" s="4">
        <f>Transportation1527395163758799111123[Costo Presupuestado]-Transportation1527395163758799111123[Costo Real]</f>
        <v>0</v>
      </c>
      <c r="F30" s="3"/>
      <c r="G30" s="15" t="s">
        <v>28</v>
      </c>
      <c r="H30" s="13" t="s">
        <v>18</v>
      </c>
      <c r="I30" s="13" t="s">
        <v>19</v>
      </c>
      <c r="J30" s="13" t="s">
        <v>8</v>
      </c>
      <c r="K30" s="19"/>
      <c r="L30" s="19"/>
    </row>
    <row r="31" spans="2:18" x14ac:dyDescent="0.25">
      <c r="B31" s="3" t="s">
        <v>40</v>
      </c>
      <c r="C31" s="40">
        <v>6000</v>
      </c>
      <c r="D31" s="40">
        <v>4000</v>
      </c>
      <c r="E31" s="4">
        <f>Transportation1527395163758799111123[Costo Presupuestado]-Transportation1527395163758799111123[Costo Real]</f>
        <v>2000</v>
      </c>
      <c r="F31" s="3"/>
      <c r="G31" s="3" t="s">
        <v>49</v>
      </c>
      <c r="H31" s="40"/>
      <c r="I31" s="40">
        <v>0</v>
      </c>
      <c r="J31" s="4">
        <f>Gifts24364860728496108120132[Costo Presupuestado]-Gifts24364860728496108120132[Costo Real]</f>
        <v>0</v>
      </c>
      <c r="K31" s="19"/>
      <c r="L31" s="19"/>
    </row>
    <row r="32" spans="2:18" x14ac:dyDescent="0.25">
      <c r="B32" s="3" t="s">
        <v>41</v>
      </c>
      <c r="C32" s="40">
        <v>0</v>
      </c>
      <c r="D32" s="40">
        <v>0</v>
      </c>
      <c r="E32" s="4">
        <f>Transportation1527395163758799111123[Costo Presupuestado]-Transportation1527395163758799111123[Costo Real]</f>
        <v>0</v>
      </c>
      <c r="F32" s="3"/>
      <c r="G32" s="3" t="s">
        <v>50</v>
      </c>
      <c r="H32" s="40"/>
      <c r="I32" s="40"/>
      <c r="J32" s="4">
        <f>Gifts24364860728496108120132[Costo Presupuestado]-Gifts24364860728496108120132[Costo Real]</f>
        <v>0</v>
      </c>
      <c r="K32" s="19"/>
      <c r="L32" s="19"/>
    </row>
    <row r="33" spans="2:12" x14ac:dyDescent="0.25">
      <c r="B33" s="3" t="s">
        <v>42</v>
      </c>
      <c r="C33" s="40">
        <v>0</v>
      </c>
      <c r="D33" s="40">
        <v>0</v>
      </c>
      <c r="E33" s="4">
        <f>Transportation1527395163758799111123[Costo Presupuestado]-Transportation1527395163758799111123[Costo Real]</f>
        <v>0</v>
      </c>
      <c r="F33" s="3"/>
      <c r="G33" s="3" t="s">
        <v>51</v>
      </c>
      <c r="H33" s="40"/>
      <c r="I33" s="40"/>
      <c r="J33" s="4">
        <f>Gifts24364860728496108120132[Costo Presupuestado]-Gifts24364860728496108120132[Costo Real]</f>
        <v>0</v>
      </c>
      <c r="K33" s="19"/>
      <c r="L33" s="19"/>
    </row>
    <row r="34" spans="2:12" x14ac:dyDescent="0.25">
      <c r="B34" s="3" t="s">
        <v>38</v>
      </c>
      <c r="C34" s="40">
        <v>0</v>
      </c>
      <c r="D34" s="40">
        <v>0</v>
      </c>
      <c r="E34" s="4">
        <f>Transportation1527395163758799111123[Costo Presupuestado]-Transportation1527395163758799111123[Costo Real]</f>
        <v>0</v>
      </c>
      <c r="F34" s="3"/>
      <c r="G34" s="34" t="s">
        <v>3</v>
      </c>
      <c r="H34" s="41">
        <f>SUBTOTAL(109,Gifts24364860728496108120132[Costo Presupuestado])</f>
        <v>0</v>
      </c>
      <c r="I34" s="41">
        <f>SUBTOTAL(109,Gifts24364860728496108120132[Costo Real])</f>
        <v>0</v>
      </c>
      <c r="J34" s="41">
        <f>SUBTOTAL(109,Gifts24364860728496108120132[Diferencia])</f>
        <v>0</v>
      </c>
      <c r="K34" s="19"/>
      <c r="L34" s="19"/>
    </row>
    <row r="35" spans="2:12" x14ac:dyDescent="0.25">
      <c r="B35" s="34" t="s">
        <v>3</v>
      </c>
      <c r="C35" s="41">
        <f>SUBTOTAL(109,Transportation1527395163758799111123[Costo Presupuestado])</f>
        <v>6000</v>
      </c>
      <c r="D35" s="41">
        <f>SUBTOTAL(109,Transportation1527395163758799111123[Costo Real])</f>
        <v>4000</v>
      </c>
      <c r="E35" s="41">
        <f>SUBTOTAL(109,Transportation1527395163758799111123[Diferencia])</f>
        <v>2000</v>
      </c>
      <c r="F35" s="3"/>
      <c r="K35" s="19"/>
      <c r="L35" s="19"/>
    </row>
    <row r="36" spans="2:12" ht="25.5" x14ac:dyDescent="0.25">
      <c r="B36" s="37"/>
      <c r="C36" s="37"/>
      <c r="D36" s="37"/>
      <c r="E36" s="37"/>
      <c r="F36" s="3"/>
      <c r="G36" s="32" t="s">
        <v>25</v>
      </c>
      <c r="H36" s="13" t="s">
        <v>18</v>
      </c>
      <c r="I36" s="13" t="s">
        <v>19</v>
      </c>
      <c r="J36" s="13" t="s">
        <v>8</v>
      </c>
      <c r="K36" s="19"/>
      <c r="L36" s="19"/>
    </row>
    <row r="37" spans="2:12" ht="25.5" x14ac:dyDescent="0.25">
      <c r="B37" s="16" t="s">
        <v>27</v>
      </c>
      <c r="C37" s="13" t="s">
        <v>18</v>
      </c>
      <c r="D37" s="13" t="s">
        <v>19</v>
      </c>
      <c r="E37" s="13" t="s">
        <v>8</v>
      </c>
      <c r="F37" s="3"/>
      <c r="G37" s="3" t="s">
        <v>52</v>
      </c>
      <c r="H37" s="40"/>
      <c r="I37" s="40"/>
      <c r="J37" s="4">
        <f>Pets19314355677991103115127[Costo Presupuestado]-Pets19314355677991103115127[Costo Real]</f>
        <v>0</v>
      </c>
      <c r="K37" s="19"/>
      <c r="L37" s="19"/>
    </row>
    <row r="38" spans="2:12" x14ac:dyDescent="0.25">
      <c r="B38" s="3" t="s">
        <v>45</v>
      </c>
      <c r="C38" s="40">
        <v>0</v>
      </c>
      <c r="D38" s="40">
        <v>0</v>
      </c>
      <c r="E38" s="4">
        <f>Insurance16284052647688100112124[Costo Presupuestado]-Insurance16284052647688100112124[Costo Real]</f>
        <v>0</v>
      </c>
      <c r="F38" s="3"/>
      <c r="G38" s="3" t="s">
        <v>53</v>
      </c>
      <c r="H38" s="40"/>
      <c r="I38" s="40"/>
      <c r="J38" s="4">
        <f>Pets19314355677991103115127[Costo Presupuestado]-Pets19314355677991103115127[Costo Real]</f>
        <v>0</v>
      </c>
      <c r="K38" s="19"/>
      <c r="L38" s="19"/>
    </row>
    <row r="39" spans="2:12" x14ac:dyDescent="0.25">
      <c r="B39" s="3" t="s">
        <v>46</v>
      </c>
      <c r="C39" s="40">
        <v>500</v>
      </c>
      <c r="D39" s="40">
        <v>500</v>
      </c>
      <c r="E39" s="4">
        <f>Insurance16284052647688100112124[Costo Presupuestado]-Insurance16284052647688100112124[Costo Real]</f>
        <v>0</v>
      </c>
      <c r="F39" s="3"/>
      <c r="G39" s="3" t="s">
        <v>54</v>
      </c>
      <c r="H39" s="40"/>
      <c r="I39" s="40"/>
      <c r="J39" s="4">
        <f>Pets19314355677991103115127[Costo Presupuestado]-Pets19314355677991103115127[Costo Real]</f>
        <v>0</v>
      </c>
      <c r="K39" s="19"/>
      <c r="L39" s="19"/>
    </row>
    <row r="40" spans="2:12" x14ac:dyDescent="0.25">
      <c r="B40" s="3" t="s">
        <v>47</v>
      </c>
      <c r="C40" s="40">
        <v>0</v>
      </c>
      <c r="D40" s="40">
        <v>0</v>
      </c>
      <c r="E40" s="4">
        <f>Insurance16284052647688100112124[Costo Presupuestado]-Insurance16284052647688100112124[Costo Real]</f>
        <v>0</v>
      </c>
      <c r="F40" s="3"/>
      <c r="G40" s="3" t="s">
        <v>55</v>
      </c>
      <c r="H40" s="40"/>
      <c r="I40" s="40"/>
      <c r="J40" s="4">
        <f>Pets19314355677991103115127[Costo Presupuestado]-Pets19314355677991103115127[Costo Real]</f>
        <v>0</v>
      </c>
      <c r="K40" s="19"/>
      <c r="L40" s="19"/>
    </row>
    <row r="41" spans="2:12" x14ac:dyDescent="0.25">
      <c r="B41" s="3" t="s">
        <v>48</v>
      </c>
      <c r="C41" s="40">
        <v>0</v>
      </c>
      <c r="D41" s="40">
        <v>0</v>
      </c>
      <c r="E41" s="4">
        <f>Insurance16284052647688100112124[Costo Presupuestado]-Insurance16284052647688100112124[Costo Real]</f>
        <v>0</v>
      </c>
      <c r="F41" s="3"/>
      <c r="G41" s="3" t="s">
        <v>56</v>
      </c>
      <c r="H41" s="40"/>
      <c r="I41" s="40"/>
      <c r="J41" s="4">
        <f>Pets19314355677991103115127[Costo Presupuestado]-Pets19314355677991103115127[Costo Real]</f>
        <v>0</v>
      </c>
      <c r="K41" s="19"/>
      <c r="L41" s="19"/>
    </row>
    <row r="42" spans="2:12" x14ac:dyDescent="0.25">
      <c r="B42" s="34" t="s">
        <v>3</v>
      </c>
      <c r="C42" s="41">
        <f>SUBTOTAL(109,Insurance16284052647688100112124[Costo Presupuestado])</f>
        <v>500</v>
      </c>
      <c r="D42" s="41">
        <f>SUBTOTAL(109,Insurance16284052647688100112124[Costo Real])</f>
        <v>500</v>
      </c>
      <c r="E42" s="41">
        <f>SUBTOTAL(109,Insurance16284052647688100112124[Diferencia])</f>
        <v>0</v>
      </c>
      <c r="F42" s="3"/>
      <c r="G42" s="34" t="s">
        <v>3</v>
      </c>
      <c r="H42" s="49">
        <f>SUBTOTAL(109,Pets19314355677991103115127[Costo Presupuestado])</f>
        <v>0</v>
      </c>
      <c r="I42" s="49">
        <f>SUBTOTAL(109,Pets19314355677991103115127[Costo Real])</f>
        <v>0</v>
      </c>
      <c r="J42" s="49">
        <f>SUBTOTAL(109,Pets19314355677991103115127[Diferencia])</f>
        <v>0</v>
      </c>
      <c r="K42" s="19"/>
      <c r="L42" s="19"/>
    </row>
    <row r="43" spans="2:12" ht="25.5" customHeight="1" x14ac:dyDescent="0.25">
      <c r="B43" s="37"/>
      <c r="C43" s="37"/>
      <c r="D43" s="37"/>
      <c r="E43" s="37"/>
      <c r="F43" s="3"/>
      <c r="K43" s="19"/>
      <c r="L43" s="19"/>
    </row>
    <row r="44" spans="2:12" ht="25.5" x14ac:dyDescent="0.25">
      <c r="B44" s="16" t="s">
        <v>26</v>
      </c>
      <c r="C44" s="13" t="s">
        <v>18</v>
      </c>
      <c r="D44" s="13" t="s">
        <v>19</v>
      </c>
      <c r="E44" s="13" t="s">
        <v>8</v>
      </c>
      <c r="F44" s="3"/>
      <c r="G44" s="32" t="s">
        <v>24</v>
      </c>
      <c r="H44" s="13" t="s">
        <v>18</v>
      </c>
      <c r="I44" s="13" t="s">
        <v>19</v>
      </c>
      <c r="J44" s="13" t="s">
        <v>8</v>
      </c>
      <c r="K44" s="19"/>
      <c r="L44" s="19"/>
    </row>
    <row r="45" spans="2:12" x14ac:dyDescent="0.25">
      <c r="B45" s="3" t="s">
        <v>57</v>
      </c>
      <c r="C45" s="40">
        <v>2000</v>
      </c>
      <c r="D45" s="40">
        <v>2500</v>
      </c>
      <c r="E45" s="4">
        <f>Food17294153657789101113125[Costo Presupuestado]-Food17294153657789101113125[Costo Real]</f>
        <v>-500</v>
      </c>
      <c r="F45" s="3"/>
      <c r="G45" s="3" t="s">
        <v>72</v>
      </c>
      <c r="H45" s="40"/>
      <c r="I45" s="40"/>
      <c r="J45" s="4">
        <f>PersonalCare20324456688092104116128[Costo Presupuestado]-PersonalCare20324456688092104116128[Costo Real]</f>
        <v>0</v>
      </c>
      <c r="K45" s="19"/>
      <c r="L45" s="19"/>
    </row>
    <row r="46" spans="2:12" x14ac:dyDescent="0.25">
      <c r="B46" s="3" t="s">
        <v>58</v>
      </c>
      <c r="C46" s="40">
        <v>4000</v>
      </c>
      <c r="D46" s="40">
        <v>3000</v>
      </c>
      <c r="E46" s="4">
        <f>Food17294153657789101113125[Costo Presupuestado]-Food17294153657789101113125[Costo Real]</f>
        <v>1000</v>
      </c>
      <c r="F46" s="3"/>
      <c r="G46" s="3" t="s">
        <v>73</v>
      </c>
      <c r="H46" s="40"/>
      <c r="I46" s="40"/>
      <c r="J46" s="4">
        <f>PersonalCare20324456688092104116128[Costo Presupuestado]-PersonalCare20324456688092104116128[Costo Real]</f>
        <v>0</v>
      </c>
      <c r="K46" s="19"/>
      <c r="L46" s="19"/>
    </row>
    <row r="47" spans="2:12" x14ac:dyDescent="0.25">
      <c r="B47" s="3" t="s">
        <v>56</v>
      </c>
      <c r="C47" s="40">
        <v>0</v>
      </c>
      <c r="D47" s="40">
        <v>0</v>
      </c>
      <c r="E47" s="4">
        <f>Food17294153657789101113125[Costo Presupuestado]-Food17294153657789101113125[Costo Real]</f>
        <v>0</v>
      </c>
      <c r="F47" s="3"/>
      <c r="G47" s="3" t="s">
        <v>74</v>
      </c>
      <c r="H47" s="40">
        <v>1000</v>
      </c>
      <c r="I47" s="40">
        <v>600</v>
      </c>
      <c r="J47" s="4">
        <f>PersonalCare20324456688092104116128[Costo Presupuestado]-PersonalCare20324456688092104116128[Costo Real]</f>
        <v>400</v>
      </c>
      <c r="K47" s="19"/>
      <c r="L47" s="19"/>
    </row>
    <row r="48" spans="2:12" x14ac:dyDescent="0.25">
      <c r="B48" s="34" t="s">
        <v>3</v>
      </c>
      <c r="C48" s="41">
        <f>SUBTOTAL(109,Food17294153657789101113125[Costo Presupuestado])</f>
        <v>6000</v>
      </c>
      <c r="D48" s="41">
        <f>SUBTOTAL(109,Food17294153657789101113125[Costo Real])</f>
        <v>5500</v>
      </c>
      <c r="E48" s="41">
        <f>SUBTOTAL(109,Food17294153657789101113125[Diferencia])</f>
        <v>500</v>
      </c>
      <c r="F48" s="3"/>
      <c r="G48" s="3" t="s">
        <v>75</v>
      </c>
      <c r="H48" s="40"/>
      <c r="I48" s="40"/>
      <c r="J48" s="4">
        <f>PersonalCare20324456688092104116128[Costo Presupuestado]-PersonalCare20324456688092104116128[Costo Real]</f>
        <v>0</v>
      </c>
      <c r="K48" s="19"/>
      <c r="L48" s="19"/>
    </row>
    <row r="49" spans="2:12" ht="25.5" customHeight="1" x14ac:dyDescent="0.25">
      <c r="B49" s="37"/>
      <c r="C49" s="37"/>
      <c r="D49" s="37"/>
      <c r="E49" s="37"/>
      <c r="F49" s="3"/>
      <c r="G49" s="3" t="s">
        <v>76</v>
      </c>
      <c r="H49" s="40"/>
      <c r="I49" s="40"/>
      <c r="J49" s="4">
        <f>PersonalCare20324456688092104116128[Costo Presupuestado]-PersonalCare20324456688092104116128[Costo Real]</f>
        <v>0</v>
      </c>
      <c r="K49" s="19"/>
      <c r="L49" s="19"/>
    </row>
    <row r="50" spans="2:12" ht="25.5" customHeight="1" x14ac:dyDescent="0.25">
      <c r="B50" s="16" t="s">
        <v>23</v>
      </c>
      <c r="C50" s="13" t="s">
        <v>18</v>
      </c>
      <c r="D50" s="13" t="s">
        <v>19</v>
      </c>
      <c r="E50" s="13" t="s">
        <v>8</v>
      </c>
      <c r="F50" s="3"/>
      <c r="G50" s="3" t="s">
        <v>64</v>
      </c>
      <c r="H50" s="40"/>
      <c r="I50" s="40"/>
      <c r="J50" s="4">
        <f>PersonalCare20324456688092104116128[Costo Presupuestado]-PersonalCare20324456688092104116128[Costo Real]</f>
        <v>0</v>
      </c>
      <c r="K50" s="19"/>
      <c r="L50" s="19"/>
    </row>
    <row r="51" spans="2:12" x14ac:dyDescent="0.25">
      <c r="B51" s="21" t="s">
        <v>65</v>
      </c>
      <c r="C51" s="40">
        <v>0</v>
      </c>
      <c r="D51" s="40">
        <v>0</v>
      </c>
      <c r="E51" s="4">
        <f>Children18304254667890102114126[Costo Presupuestado]-Children18304254667890102114126[Costo Real]</f>
        <v>0</v>
      </c>
      <c r="F51" s="3"/>
      <c r="G51" s="34" t="s">
        <v>3</v>
      </c>
      <c r="H51" s="49">
        <f>SUBTOTAL(109,PersonalCare20324456688092104116128[Costo Presupuestado])</f>
        <v>1000</v>
      </c>
      <c r="I51" s="49">
        <f>SUBTOTAL(109,PersonalCare20324456688092104116128[Costo Real])</f>
        <v>600</v>
      </c>
      <c r="J51" s="49">
        <f>SUBTOTAL(109,PersonalCare20324456688092104116128[Diferencia])</f>
        <v>400</v>
      </c>
      <c r="K51" s="19"/>
      <c r="L51" s="19"/>
    </row>
    <row r="52" spans="2:12" x14ac:dyDescent="0.25">
      <c r="B52" s="21" t="s">
        <v>74</v>
      </c>
      <c r="C52" s="40">
        <v>0</v>
      </c>
      <c r="D52" s="40">
        <v>0</v>
      </c>
      <c r="E52" s="4">
        <f>Children18304254667890102114126[Costo Presupuestado]-Children18304254667890102114126[Costo Real]</f>
        <v>0</v>
      </c>
      <c r="F52" s="3"/>
      <c r="K52" s="19"/>
      <c r="L52" s="19"/>
    </row>
    <row r="53" spans="2:12" ht="38.25" x14ac:dyDescent="0.25">
      <c r="B53" s="21" t="s">
        <v>59</v>
      </c>
      <c r="C53" s="40">
        <v>0</v>
      </c>
      <c r="D53" s="40">
        <v>0</v>
      </c>
      <c r="E53" s="4">
        <f>Children18304254667890102114126[Costo Presupuestado]-Children18304254667890102114126[Costo Real]</f>
        <v>0</v>
      </c>
      <c r="F53" s="3"/>
      <c r="G53" s="22" t="s">
        <v>22</v>
      </c>
      <c r="H53" s="13" t="s">
        <v>18</v>
      </c>
      <c r="I53" s="13" t="s">
        <v>19</v>
      </c>
      <c r="J53" s="13" t="s">
        <v>8</v>
      </c>
      <c r="K53" s="19"/>
      <c r="L53" s="19"/>
    </row>
    <row r="54" spans="2:12" ht="25.5" x14ac:dyDescent="0.25">
      <c r="B54" s="21" t="s">
        <v>60</v>
      </c>
      <c r="C54" s="40">
        <v>0</v>
      </c>
      <c r="D54" s="40">
        <v>0</v>
      </c>
      <c r="E54" s="4">
        <f>Children18304254667890102114126[Costo Presupuestado]-Children18304254667890102114126[Costo Real]</f>
        <v>0</v>
      </c>
      <c r="F54" s="3"/>
      <c r="G54" s="3" t="s">
        <v>5</v>
      </c>
      <c r="H54" s="40"/>
      <c r="I54" s="40"/>
      <c r="J54" s="4">
        <f>Loans22344658708294106118130[Costo Presupuestado]-Loans22344658708294106118130[Costo Real]</f>
        <v>0</v>
      </c>
      <c r="K54" s="19"/>
      <c r="L54" s="19"/>
    </row>
    <row r="55" spans="2:12" ht="25.5" x14ac:dyDescent="0.25">
      <c r="B55" s="21" t="s">
        <v>4</v>
      </c>
      <c r="C55" s="40">
        <v>0</v>
      </c>
      <c r="D55" s="40">
        <v>0</v>
      </c>
      <c r="E55" s="4">
        <f>Children18304254667890102114126[Costo Presupuestado]-Children18304254667890102114126[Costo Real]</f>
        <v>0</v>
      </c>
      <c r="F55" s="3"/>
      <c r="G55" s="3" t="s">
        <v>68</v>
      </c>
      <c r="H55" s="40"/>
      <c r="I55" s="40"/>
      <c r="J55" s="4">
        <f>Loans22344658708294106118130[Costo Presupuestado]-Loans22344658708294106118130[Costo Real]</f>
        <v>0</v>
      </c>
      <c r="K55" s="19"/>
      <c r="L55" s="19"/>
    </row>
    <row r="56" spans="2:12" ht="25.5" x14ac:dyDescent="0.25">
      <c r="B56" s="21" t="s">
        <v>61</v>
      </c>
      <c r="C56" s="40">
        <v>0</v>
      </c>
      <c r="D56" s="40">
        <v>0</v>
      </c>
      <c r="E56" s="4">
        <f>Children18304254667890102114126[Costo Presupuestado]-Children18304254667890102114126[Costo Real]</f>
        <v>0</v>
      </c>
      <c r="F56" s="3"/>
      <c r="G56" s="3" t="s">
        <v>69</v>
      </c>
      <c r="H56" s="40"/>
      <c r="I56" s="40"/>
      <c r="J56" s="4">
        <f>Loans22344658708294106118130[Costo Presupuestado]-Loans22344658708294106118130[Costo Real]</f>
        <v>0</v>
      </c>
      <c r="K56" s="19"/>
      <c r="L56" s="19"/>
    </row>
    <row r="57" spans="2:12" x14ac:dyDescent="0.25">
      <c r="B57" s="21" t="s">
        <v>62</v>
      </c>
      <c r="C57" s="40">
        <v>0</v>
      </c>
      <c r="D57" s="40">
        <v>0</v>
      </c>
      <c r="E57" s="4">
        <f>Children18304254667890102114126[Costo Presupuestado]-Children18304254667890102114126[Costo Real]</f>
        <v>0</v>
      </c>
      <c r="F57" s="3"/>
      <c r="G57" s="3" t="s">
        <v>70</v>
      </c>
      <c r="H57" s="40"/>
      <c r="I57" s="40"/>
      <c r="J57" s="4">
        <f>Loans22344658708294106118130[Costo Presupuestado]-Loans22344658708294106118130[Costo Real]</f>
        <v>0</v>
      </c>
      <c r="K57" s="19"/>
      <c r="L57" s="19"/>
    </row>
    <row r="58" spans="2:12" x14ac:dyDescent="0.25">
      <c r="B58" s="21" t="s">
        <v>63</v>
      </c>
      <c r="C58" s="40">
        <v>0</v>
      </c>
      <c r="D58" s="40">
        <v>0</v>
      </c>
      <c r="E58" s="4">
        <f>Children18304254667890102114126[Costo Presupuestado]-Children18304254667890102114126[Costo Real]</f>
        <v>0</v>
      </c>
      <c r="F58" s="3"/>
      <c r="G58" s="3" t="s">
        <v>71</v>
      </c>
      <c r="H58" s="40"/>
      <c r="I58" s="40"/>
      <c r="J58" s="4">
        <f>Loans22344658708294106118130[Costo Presupuestado]-Loans22344658708294106118130[Costo Real]</f>
        <v>0</v>
      </c>
      <c r="K58" s="19"/>
      <c r="L58" s="19"/>
    </row>
    <row r="59" spans="2:12" x14ac:dyDescent="0.25">
      <c r="B59" s="21" t="s">
        <v>64</v>
      </c>
      <c r="C59" s="40">
        <v>0</v>
      </c>
      <c r="D59" s="40">
        <v>0</v>
      </c>
      <c r="E59" s="4">
        <f>Children18304254667890102114126[Costo Presupuestado]-Children18304254667890102114126[Costo Real]</f>
        <v>0</v>
      </c>
      <c r="F59" s="3"/>
      <c r="G59" s="3" t="s">
        <v>64</v>
      </c>
      <c r="H59" s="40"/>
      <c r="I59" s="40"/>
      <c r="J59" s="4">
        <f>Loans22344658708294106118130[Costo Presupuestado]-Loans22344658708294106118130[Costo Real]</f>
        <v>0</v>
      </c>
      <c r="K59" s="19"/>
      <c r="L59" s="19"/>
    </row>
    <row r="60" spans="2:12" x14ac:dyDescent="0.25">
      <c r="B60" s="34" t="s">
        <v>3</v>
      </c>
      <c r="C60" s="41">
        <f>SUBTOTAL(109,Children18304254667890102114126[Costo Presupuestado])</f>
        <v>0</v>
      </c>
      <c r="D60" s="41">
        <f>SUBTOTAL(109,Children18304254667890102114126[Costo Real])</f>
        <v>0</v>
      </c>
      <c r="E60" s="41">
        <f>SUBTOTAL(109,Children18304254667890102114126[Diferencia])</f>
        <v>0</v>
      </c>
      <c r="F60" s="3"/>
      <c r="G60" s="34" t="s">
        <v>3</v>
      </c>
      <c r="H60" s="49">
        <f>SUBTOTAL(109,Loans22344658708294106118130[Costo Presupuestado])</f>
        <v>0</v>
      </c>
      <c r="I60" s="49">
        <f>SUBTOTAL(109,Loans22344658708294106118130[Costo Real])</f>
        <v>0</v>
      </c>
      <c r="J60" s="49">
        <f>SUBTOTAL(109,Loans22344658708294106118130[Diferencia])</f>
        <v>0</v>
      </c>
      <c r="K60" s="19"/>
      <c r="L60" s="19"/>
    </row>
    <row r="61" spans="2:12" x14ac:dyDescent="0.25">
      <c r="F61" s="3"/>
      <c r="K61" s="19"/>
      <c r="L61" s="19"/>
    </row>
    <row r="62" spans="2:12" ht="25.5" x14ac:dyDescent="0.25">
      <c r="F62" s="3"/>
      <c r="G62" s="15" t="s">
        <v>21</v>
      </c>
      <c r="H62" s="13" t="s">
        <v>18</v>
      </c>
      <c r="I62" s="13" t="s">
        <v>19</v>
      </c>
      <c r="J62" s="13" t="s">
        <v>8</v>
      </c>
      <c r="K62" s="19"/>
      <c r="L62" s="19"/>
    </row>
    <row r="63" spans="2:12" x14ac:dyDescent="0.25">
      <c r="F63" s="3"/>
      <c r="G63" s="3" t="s">
        <v>66</v>
      </c>
      <c r="H63" s="40"/>
      <c r="I63" s="40"/>
      <c r="J63" s="4">
        <f>Legal25374961738597109121133[Costo Presupuestado]-Legal25374961738597109121133[Costo Real]</f>
        <v>0</v>
      </c>
      <c r="K63" s="19"/>
      <c r="L63" s="19"/>
    </row>
    <row r="64" spans="2:12" x14ac:dyDescent="0.25">
      <c r="F64" s="3"/>
      <c r="G64" s="3" t="s">
        <v>67</v>
      </c>
      <c r="H64" s="40"/>
      <c r="I64" s="40"/>
      <c r="J64" s="4">
        <f>Legal25374961738597109121133[Costo Presupuestado]-Legal25374961738597109121133[Costo Real]</f>
        <v>0</v>
      </c>
      <c r="K64" s="19"/>
      <c r="L64" s="19"/>
    </row>
    <row r="65" spans="6:12" x14ac:dyDescent="0.25">
      <c r="F65" s="3"/>
      <c r="G65" s="3" t="s">
        <v>64</v>
      </c>
      <c r="H65" s="40"/>
      <c r="I65" s="40"/>
      <c r="J65" s="4">
        <f>Legal25374961738597109121133[Costo Presupuestado]-Legal25374961738597109121133[Costo Real]</f>
        <v>0</v>
      </c>
      <c r="K65" s="19"/>
      <c r="L65" s="19"/>
    </row>
    <row r="66" spans="6:12" x14ac:dyDescent="0.25">
      <c r="F66" s="3"/>
      <c r="G66" s="34" t="s">
        <v>3</v>
      </c>
      <c r="H66" s="41">
        <f>SUBTOTAL(109,Legal25374961738597109121133[Costo Presupuestado])</f>
        <v>0</v>
      </c>
      <c r="I66" s="41">
        <f>SUBTOTAL(109,Legal25374961738597109121133[Costo Real])</f>
        <v>0</v>
      </c>
      <c r="J66" s="41">
        <f>SUBTOTAL(109,Legal25374961738597109121133[Diferencia])</f>
        <v>0</v>
      </c>
      <c r="K66" s="19"/>
      <c r="L66" s="19"/>
    </row>
    <row r="67" spans="6:12" x14ac:dyDescent="0.25">
      <c r="F67" s="3"/>
      <c r="K67" s="19"/>
      <c r="L67" s="19"/>
    </row>
    <row r="68" spans="6:12" x14ac:dyDescent="0.25">
      <c r="F68" s="3"/>
      <c r="K68" s="19"/>
      <c r="L68" s="19"/>
    </row>
    <row r="69" spans="6:12" x14ac:dyDescent="0.25">
      <c r="F69" s="3"/>
      <c r="K69" s="19"/>
      <c r="L69" s="19"/>
    </row>
    <row r="70" spans="6:12" x14ac:dyDescent="0.25">
      <c r="K70" s="19"/>
      <c r="L70" s="19"/>
    </row>
  </sheetData>
  <mergeCells count="6">
    <mergeCell ref="B1:H1"/>
    <mergeCell ref="B3:C3"/>
    <mergeCell ref="G3:H3"/>
    <mergeCell ref="G9:H9"/>
    <mergeCell ref="Q11:R11"/>
    <mergeCell ref="Q17:R17"/>
  </mergeCells>
  <conditionalFormatting sqref="J54:J59 J37:J41 J31:J33 J21:J27 E15:E24 E51:E59 E45:E47 E38:E41 H17 E28:E34 J63:J65 J45:J50 E7:E11">
    <cfRule type="iconSet" priority="1">
      <iconSet iconSet="3Arrows">
        <cfvo type="percentile" val="0"/>
        <cfvo type="num" val="-50"/>
        <cfvo type="num" val="50"/>
      </iconSet>
    </cfRule>
  </conditionalFormatting>
  <conditionalFormatting sqref="E15:E24">
    <cfRule type="iconSet" priority="2">
      <iconSet iconSet="4Arrows">
        <cfvo type="percent" val="0"/>
        <cfvo type="percent" val="25"/>
        <cfvo type="percent" val="50"/>
        <cfvo type="percent" val="75"/>
      </iconSet>
    </cfRule>
  </conditionalFormatting>
  <pageMargins left="0.7" right="0.7" top="0.75" bottom="0.75" header="0.3" footer="0.3"/>
  <drawing r:id="rId1"/>
  <tableParts count="1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G20"/>
  <sheetViews>
    <sheetView workbookViewId="0">
      <selection activeCell="I7" sqref="I7"/>
    </sheetView>
  </sheetViews>
  <sheetFormatPr defaultRowHeight="15" x14ac:dyDescent="0.25"/>
  <cols>
    <col min="1" max="1" width="9.140625" style="59"/>
    <col min="2" max="2" width="28.5703125" style="59" bestFit="1" customWidth="1"/>
    <col min="3" max="4" width="15.140625" style="59" bestFit="1" customWidth="1"/>
    <col min="5" max="5" width="28.5703125" style="59" bestFit="1" customWidth="1"/>
    <col min="6" max="7" width="15.140625" style="59" bestFit="1" customWidth="1"/>
    <col min="8" max="16384" width="9.140625" style="59"/>
  </cols>
  <sheetData>
    <row r="5" spans="2:7" ht="15.75" thickBot="1" x14ac:dyDescent="0.3"/>
    <row r="6" spans="2:7" x14ac:dyDescent="0.25">
      <c r="B6" s="68" t="str">
        <f>+Acumulado!G3</f>
        <v>Ingreso Anual Proyectado</v>
      </c>
      <c r="C6" s="66">
        <f>+Acumulado!H7</f>
        <v>660000</v>
      </c>
      <c r="E6" s="52" t="s">
        <v>90</v>
      </c>
      <c r="F6" s="53" t="s">
        <v>91</v>
      </c>
      <c r="G6" s="23" t="s">
        <v>92</v>
      </c>
    </row>
    <row r="7" spans="2:7" ht="15.75" thickBot="1" x14ac:dyDescent="0.3">
      <c r="B7" s="69" t="str">
        <f>+Acumulado!G9</f>
        <v>Ingreso Anual Real</v>
      </c>
      <c r="C7" s="67">
        <f>+Acumulado!H13</f>
        <v>630000</v>
      </c>
      <c r="E7" s="60" t="str">
        <f>+Savings23354759718395107119131155[[#Headers],[Ahorro/ Inversiones]]</f>
        <v>Ahorro/ Inversiones</v>
      </c>
      <c r="F7" s="62">
        <f>+Savings23354759718395107119131155[[#Totals],[Costo Presupuestado]]</f>
        <v>60000</v>
      </c>
      <c r="G7" s="62">
        <f>+Savings23354759718395107119131155[[#Totals],[Costo Real]]</f>
        <v>60000</v>
      </c>
    </row>
    <row r="8" spans="2:7" x14ac:dyDescent="0.25">
      <c r="C8" s="65"/>
      <c r="E8" s="60" t="str">
        <f>+Housing1126385062748698110122146[[#Headers],[Vivienda]]</f>
        <v>Vivienda</v>
      </c>
      <c r="F8" s="62">
        <f>+Housing1126385062748698110122146[[#Totals],[Costo Presupuestado]]</f>
        <v>240600</v>
      </c>
      <c r="G8" s="62">
        <f>+Housing1126385062748698110122146[[#Totals],[Costo Real]]</f>
        <v>230928</v>
      </c>
    </row>
    <row r="9" spans="2:7" ht="15.75" thickBot="1" x14ac:dyDescent="0.3">
      <c r="C9" s="65"/>
      <c r="E9" s="60" t="str">
        <f>+Transportation1527395163758799111123147[[#Headers],[Transporte]]</f>
        <v>Transporte</v>
      </c>
      <c r="F9" s="62">
        <f>+Transportation1527395163758799111123147[[#Totals],[Costo Presupuestado]]</f>
        <v>72000</v>
      </c>
      <c r="G9" s="62">
        <f>+Transportation1527395163758799111123147[[#Totals],[Costo Real]]</f>
        <v>48000</v>
      </c>
    </row>
    <row r="10" spans="2:7" x14ac:dyDescent="0.25">
      <c r="B10" s="68" t="str">
        <f>+Acumulado!G15</f>
        <v>Balance Proyectado</v>
      </c>
      <c r="C10" s="66">
        <f>+Acumulado!H15</f>
        <v>129000</v>
      </c>
      <c r="E10" s="60" t="str">
        <f>+Insurance16284052647688100112124148[[#Headers],[Seguros]]</f>
        <v>Seguros</v>
      </c>
      <c r="F10" s="62">
        <f>+Insurance16284052647688100112124148[[#Totals],[Costo Presupuestado]]</f>
        <v>6000</v>
      </c>
      <c r="G10" s="62">
        <f>+Insurance16284052647688100112124148[[#Totals],[Costo Real]]</f>
        <v>6000</v>
      </c>
    </row>
    <row r="11" spans="2:7" ht="15.75" thickBot="1" x14ac:dyDescent="0.3">
      <c r="B11" s="69" t="str">
        <f>+Acumulado!G16</f>
        <v>Balance Real</v>
      </c>
      <c r="C11" s="67">
        <f>+Acumulado!H16</f>
        <v>151872</v>
      </c>
      <c r="E11" s="60" t="str">
        <f>+Food17294153657789101113125149[[#Headers],[Comida]]</f>
        <v>Comida</v>
      </c>
      <c r="F11" s="62">
        <f>+Food17294153657789101113125149[[#Totals],[Costo Presupuestado]]</f>
        <v>72000</v>
      </c>
      <c r="G11" s="62">
        <f>+Food17294153657789101113125149[[#Totals],[Costo Real]]</f>
        <v>66000</v>
      </c>
    </row>
    <row r="12" spans="2:7" x14ac:dyDescent="0.25">
      <c r="E12" s="60" t="str">
        <f>+Entertainment21334557698193105117129153[[#Headers],[Entretenimiento]]</f>
        <v>Entretenimiento</v>
      </c>
      <c r="F12" s="62">
        <f>+Entertainment21334557698193105117129153[[#Totals],[Costo Presupuestado]]</f>
        <v>68400</v>
      </c>
      <c r="G12" s="62">
        <f>+Entertainment21334557698193105117129153[[#Totals],[Costo Real]]</f>
        <v>60000</v>
      </c>
    </row>
    <row r="13" spans="2:7" x14ac:dyDescent="0.25">
      <c r="E13" s="60" t="str">
        <f>+Loans22344658708294106118130154[[#Headers],[Gastos Financieros/ Prestamos]]</f>
        <v>Gastos Financieros/ Prestamos</v>
      </c>
      <c r="F13" s="62">
        <f>+Loans22344658708294106118130154[[#Totals],[Costo Presupuestado]]</f>
        <v>0</v>
      </c>
      <c r="G13" s="62">
        <f>+Loans22344658708294106118130154[[#Totals],[Costo Real]]</f>
        <v>0</v>
      </c>
    </row>
    <row r="14" spans="2:7" x14ac:dyDescent="0.25">
      <c r="E14" s="60" t="str">
        <f>+Children18304254667890102114126150[[#Headers],[Niños]]</f>
        <v>Niños</v>
      </c>
      <c r="F14" s="62">
        <f>+Children18304254667890102114126150[[#Totals],[Costo Presupuestado]]</f>
        <v>0</v>
      </c>
      <c r="G14" s="62">
        <f>+Children18304254667890102114126150[[#Totals],[Costo Real]]</f>
        <v>0</v>
      </c>
    </row>
    <row r="15" spans="2:7" x14ac:dyDescent="0.25">
      <c r="E15" s="60" t="str">
        <f>+Legal25374961738597109121133157[[#Headers],[Gastos Legales]]</f>
        <v>Gastos Legales</v>
      </c>
      <c r="F15" s="62">
        <f>+Legal25374961738597109121133157[[#Totals],[Costo Presupuestado]]</f>
        <v>0</v>
      </c>
      <c r="G15" s="62">
        <f>+Legal25374961738597109121133157[[#Totals],[Costo Real]]</f>
        <v>0</v>
      </c>
    </row>
    <row r="16" spans="2:7" x14ac:dyDescent="0.25">
      <c r="E16" s="60" t="str">
        <f>+PersonalCare20324456688092104116128152[[#Headers],[Cuidado Personal]]</f>
        <v>Cuidado Personal</v>
      </c>
      <c r="F16" s="62">
        <f>+PersonalCare20324456688092104116128152[[#Totals],[Costo Presupuestado]]</f>
        <v>12000</v>
      </c>
      <c r="G16" s="62">
        <f>+PersonalCare20324456688092104116128152[[#Totals],[Costo Real]]</f>
        <v>7200</v>
      </c>
    </row>
    <row r="17" spans="5:7" x14ac:dyDescent="0.25">
      <c r="E17" s="60" t="str">
        <f>+Pets19314355677991103115127151[[#Headers],[Mascotas]]</f>
        <v>Mascotas</v>
      </c>
      <c r="F17" s="62">
        <f>+Pets19314355677991103115127151[[#Totals],[Costo Presupuestado]]</f>
        <v>0</v>
      </c>
      <c r="G17" s="62">
        <f>+Pets19314355677991103115127151[[#Totals],[Costo Real]]</f>
        <v>0</v>
      </c>
    </row>
    <row r="18" spans="5:7" ht="15.75" thickBot="1" x14ac:dyDescent="0.3">
      <c r="E18" s="61" t="str">
        <f>+Gifts24364860728496108120132156[[#Headers],[Regalos y Donaciones]]</f>
        <v>Regalos y Donaciones</v>
      </c>
      <c r="F18" s="63">
        <f>+Gifts24364860728496108120132156[[#Totals],[Costo Presupuestado]]</f>
        <v>0</v>
      </c>
      <c r="G18" s="63">
        <f>+Gifts24364860728496108120132156[[#Totals],[Costo Real]]</f>
        <v>0</v>
      </c>
    </row>
    <row r="19" spans="5:7" ht="15.75" thickBot="1" x14ac:dyDescent="0.3">
      <c r="E19" s="59" t="s">
        <v>3</v>
      </c>
      <c r="F19" s="64">
        <f>SUM(F7:F18)</f>
        <v>531000</v>
      </c>
      <c r="G19" s="64">
        <f>SUM(G7:G18)</f>
        <v>478128</v>
      </c>
    </row>
    <row r="20" spans="5:7" ht="15.75" thickTop="1" x14ac:dyDescent="0.25"/>
  </sheetData>
  <mergeCells count="1">
    <mergeCell ref="E6:F6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0"/>
  <sheetViews>
    <sheetView workbookViewId="0">
      <selection activeCell="F5" sqref="F5"/>
    </sheetView>
  </sheetViews>
  <sheetFormatPr defaultRowHeight="15" x14ac:dyDescent="0.25"/>
  <cols>
    <col min="1" max="1" width="5" style="17" customWidth="1"/>
    <col min="2" max="2" width="17.42578125" style="17" customWidth="1"/>
    <col min="3" max="3" width="17.5703125" style="17" bestFit="1" customWidth="1"/>
    <col min="4" max="4" width="14" style="17" bestFit="1" customWidth="1"/>
    <col min="5" max="5" width="13" style="17" customWidth="1"/>
    <col min="6" max="6" width="5.5703125" style="17" customWidth="1"/>
    <col min="7" max="7" width="15.42578125" style="17" customWidth="1"/>
    <col min="8" max="8" width="14.7109375" style="17" bestFit="1" customWidth="1"/>
    <col min="9" max="9" width="13.140625" style="17" customWidth="1"/>
    <col min="10" max="10" width="12.42578125" style="17" customWidth="1"/>
    <col min="11" max="16384" width="9.140625" style="17"/>
  </cols>
  <sheetData>
    <row r="1" spans="1:18" ht="62.25" customHeight="1" x14ac:dyDescent="0.3">
      <c r="A1" s="19"/>
      <c r="B1" s="51"/>
      <c r="C1" s="51"/>
      <c r="D1" s="51"/>
      <c r="E1" s="51"/>
      <c r="F1" s="51"/>
      <c r="G1" s="51"/>
      <c r="H1" s="51"/>
      <c r="I1" s="1"/>
      <c r="J1" s="1"/>
      <c r="K1" s="19"/>
      <c r="L1" s="19"/>
    </row>
    <row r="2" spans="1:18" ht="18.75" customHeight="1" thickBot="1" x14ac:dyDescent="0.3">
      <c r="A2" s="19"/>
      <c r="B2" s="38"/>
      <c r="C2" s="38"/>
      <c r="D2" s="38"/>
      <c r="E2" s="38"/>
      <c r="F2" s="38"/>
      <c r="G2" s="38"/>
      <c r="H2" s="38"/>
      <c r="I2" s="38"/>
      <c r="J2" s="38"/>
      <c r="K2" s="19"/>
      <c r="L2" s="19"/>
    </row>
    <row r="3" spans="1:18" ht="26.25" thickBot="1" x14ac:dyDescent="0.3">
      <c r="B3" s="52" t="s">
        <v>6</v>
      </c>
      <c r="C3" s="53"/>
      <c r="D3" s="23" t="s">
        <v>7</v>
      </c>
      <c r="E3" s="24" t="s">
        <v>8</v>
      </c>
      <c r="F3" s="2"/>
      <c r="G3" s="54" t="s">
        <v>88</v>
      </c>
      <c r="H3" s="55"/>
      <c r="I3" s="2"/>
      <c r="J3" s="2"/>
      <c r="K3" s="19"/>
      <c r="L3" s="19"/>
      <c r="Q3" s="19"/>
      <c r="R3" s="19"/>
    </row>
    <row r="4" spans="1:18" ht="15.75" thickBot="1" x14ac:dyDescent="0.3">
      <c r="B4" s="25"/>
      <c r="C4" s="50">
        <f>Enero!C4+Febrero!C4+Marzo!C4+Abril!C4+Mayo!C4+Junio!C4+Julio!C4+Agosto!C4+Septiembre!C4+Octubre!C4+Noviembre!C4+Diciembre!C4</f>
        <v>531000</v>
      </c>
      <c r="D4" s="50">
        <f>Enero!D4+Febrero!D4+Marzo!D4+Abril!D4+Mayo!D4+Junio!D4+Julio!D4+Agosto!D4+Septiembre!D4+Octubre!D4+Noviembre!D4+Diciembre!D4</f>
        <v>478128</v>
      </c>
      <c r="E4" s="45">
        <f>C4-D4</f>
        <v>52872</v>
      </c>
      <c r="F4" s="2"/>
      <c r="G4" s="39" t="s">
        <v>10</v>
      </c>
      <c r="H4" s="48">
        <f>+Enero!H4+Febrero!H4+Marzo!H4+Abril!H4+Mayo!H4+Junio!H4+Julio!H4+Agosto!H4+Septiembre!H4+Octubre!H4+Noviembre!H4+Diciembre!H4</f>
        <v>600000</v>
      </c>
      <c r="I4" s="2"/>
      <c r="J4" s="2"/>
      <c r="K4" s="19"/>
      <c r="L4" s="19"/>
      <c r="Q4" s="19"/>
      <c r="R4" s="19"/>
    </row>
    <row r="5" spans="1:18" ht="25.5" x14ac:dyDescent="0.25">
      <c r="F5" s="3"/>
      <c r="G5" s="26" t="s">
        <v>11</v>
      </c>
      <c r="H5" s="48">
        <f>+Enero!H5+Febrero!H5+Marzo!H5+Abril!H5+Mayo!H5+Junio!H5+Julio!H5+Agosto!H5+Septiembre!H5+Octubre!H5+Noviembre!H5+Diciembre!H5</f>
        <v>60000</v>
      </c>
      <c r="I5" s="3"/>
      <c r="J5" s="3"/>
      <c r="K5" s="19"/>
      <c r="L5" s="19"/>
      <c r="Q5" s="19"/>
      <c r="R5" s="19"/>
    </row>
    <row r="6" spans="1:18" ht="25.5" x14ac:dyDescent="0.25">
      <c r="B6" s="33" t="s">
        <v>20</v>
      </c>
      <c r="C6" s="13" t="s">
        <v>18</v>
      </c>
      <c r="D6" s="13" t="s">
        <v>19</v>
      </c>
      <c r="E6" s="13" t="s">
        <v>8</v>
      </c>
      <c r="F6" s="3"/>
      <c r="G6" s="26" t="s">
        <v>12</v>
      </c>
      <c r="H6" s="48">
        <f>+Enero!H6+Febrero!H6+Marzo!H6+Abril!H6+Mayo!H6+Junio!H6+Julio!H6+Agosto!H6+Septiembre!H6+Octubre!H6+Noviembre!H6+Diciembre!H6</f>
        <v>0</v>
      </c>
      <c r="I6" s="3"/>
      <c r="J6" s="3"/>
      <c r="K6" s="19"/>
      <c r="L6" s="19"/>
      <c r="Q6" s="19"/>
      <c r="R6" s="19"/>
    </row>
    <row r="7" spans="1:18" ht="26.25" thickBot="1" x14ac:dyDescent="0.3">
      <c r="B7" s="3" t="s">
        <v>77</v>
      </c>
      <c r="C7" s="40">
        <f>+Savings23143[[#This Row],[Costo Presupuestado]]+Savings23[[#This Row],[Costo Presupuestado]]+Savings[[#This Row],[Costo Presupuestado]]+Savings2335[[#This Row],[Costo Presupuestado]]+Savings233547[[#This Row],[Costo Presupuestado]]+Savings23354759[[#This Row],[Costo Presupuestado]]+Savings2335475971[[#This Row],[Costo Presupuestado]]+Savings233547597183[[#This Row],[Costo Presupuestado]]+Savings23354759718395[[#This Row],[Costo Presupuestado]]+Savings23354759718395107[[#This Row],[Costo Presupuestado]]+Savings23354759718395107119[[#This Row],[Costo Presupuestado]]+Savings23354759718395107119131[[#This Row],[Costo Presupuestado]]</f>
        <v>60000</v>
      </c>
      <c r="D7" s="40">
        <f>+Savings23143[[#This Row],[Costo Real]]+Savings23[[#This Row],[Costo Real]]+Savings[[#This Row],[Costo Real]]+Savings2335[[#This Row],[Costo Real]]+Savings233547[[#This Row],[Costo Real]]+Savings23354759[[#This Row],[Costo Real]]+Savings2335475971[[#This Row],[Costo Real]]+Savings233547597183[[#This Row],[Costo Real]]+Savings23354759718395[[#This Row],[Costo Real]]+Savings23354759718395107[[#This Row],[Costo Real]]+Savings23354759718395107119[[#This Row],[Costo Real]]+Savings23354759718395107119131[[#This Row],[Costo Real]]</f>
        <v>60000</v>
      </c>
      <c r="E7" s="40">
        <f>Savings23354759718395107119131155[Costo Presupuestado]-Savings23354759718395107119131155[Costo Real]</f>
        <v>0</v>
      </c>
      <c r="F7" s="3"/>
      <c r="G7" s="27" t="s">
        <v>13</v>
      </c>
      <c r="H7" s="47">
        <f>SUM(H4:H6)</f>
        <v>660000</v>
      </c>
      <c r="I7" s="3"/>
      <c r="J7" s="3"/>
      <c r="K7" s="19"/>
      <c r="L7" s="19"/>
      <c r="Q7" s="19"/>
      <c r="R7" s="19"/>
    </row>
    <row r="8" spans="1:18" ht="15.75" thickBot="1" x14ac:dyDescent="0.3">
      <c r="B8" s="3" t="s">
        <v>78</v>
      </c>
      <c r="C8" s="40">
        <f>+Savings23143[[#This Row],[Costo Presupuestado]]+Savings23[[#This Row],[Costo Presupuestado]]+Savings[[#This Row],[Costo Presupuestado]]+Savings2335[[#This Row],[Costo Presupuestado]]+Savings233547[[#This Row],[Costo Presupuestado]]+Savings23354759[[#This Row],[Costo Presupuestado]]+Savings2335475971[[#This Row],[Costo Presupuestado]]+Savings233547597183[[#This Row],[Costo Presupuestado]]+Savings23354759718395[[#This Row],[Costo Presupuestado]]+Savings23354759718395107[[#This Row],[Costo Presupuestado]]+Savings23354759718395107119[[#This Row],[Costo Presupuestado]]+Savings23354759718395107119131[[#This Row],[Costo Presupuestado]]</f>
        <v>0</v>
      </c>
      <c r="D8" s="40">
        <f>+Savings23143[[#This Row],[Costo Real]]+Savings23[[#This Row],[Costo Real]]+Savings[[#This Row],[Costo Real]]+Savings2335[[#This Row],[Costo Real]]+Savings233547[[#This Row],[Costo Real]]+Savings23354759[[#This Row],[Costo Real]]+Savings2335475971[[#This Row],[Costo Real]]+Savings233547597183[[#This Row],[Costo Real]]+Savings23354759718395[[#This Row],[Costo Real]]+Savings23354759718395107[[#This Row],[Costo Real]]+Savings23354759718395107119[[#This Row],[Costo Real]]+Savings23354759718395107119131[[#This Row],[Costo Real]]</f>
        <v>0</v>
      </c>
      <c r="E8" s="40">
        <f>Savings23354759718395107119131155[Costo Presupuestado]-Savings23354759718395107119131155[Costo Real]</f>
        <v>0</v>
      </c>
      <c r="F8" s="3"/>
      <c r="G8" s="5"/>
      <c r="H8" s="6"/>
      <c r="I8" s="18"/>
      <c r="J8" s="18"/>
      <c r="K8" s="19"/>
      <c r="L8" s="19"/>
      <c r="Q8" s="19"/>
      <c r="R8" s="19"/>
    </row>
    <row r="9" spans="1:18" ht="25.5" x14ac:dyDescent="0.25">
      <c r="B9" s="3" t="s">
        <v>81</v>
      </c>
      <c r="C9" s="40">
        <f>+Savings23143[[#This Row],[Costo Presupuestado]]+Savings23[[#This Row],[Costo Presupuestado]]+Savings[[#This Row],[Costo Presupuestado]]+Savings2335[[#This Row],[Costo Presupuestado]]+Savings233547[[#This Row],[Costo Presupuestado]]+Savings23354759[[#This Row],[Costo Presupuestado]]+Savings2335475971[[#This Row],[Costo Presupuestado]]+Savings233547597183[[#This Row],[Costo Presupuestado]]+Savings23354759718395[[#This Row],[Costo Presupuestado]]+Savings23354759718395107[[#This Row],[Costo Presupuestado]]+Savings23354759718395107119[[#This Row],[Costo Presupuestado]]+Savings23354759718395107119131[[#This Row],[Costo Presupuestado]]</f>
        <v>0</v>
      </c>
      <c r="D9" s="40">
        <f>+Savings23143[[#This Row],[Costo Real]]+Savings23[[#This Row],[Costo Real]]+Savings[[#This Row],[Costo Real]]+Savings2335[[#This Row],[Costo Real]]+Savings233547[[#This Row],[Costo Real]]+Savings23354759[[#This Row],[Costo Real]]+Savings2335475971[[#This Row],[Costo Real]]+Savings233547597183[[#This Row],[Costo Real]]+Savings23354759718395[[#This Row],[Costo Real]]+Savings23354759718395107[[#This Row],[Costo Real]]+Savings23354759718395107119[[#This Row],[Costo Real]]+Savings23354759718395107119131[[#This Row],[Costo Real]]</f>
        <v>0</v>
      </c>
      <c r="E9" s="40">
        <f>Savings23354759718395107119131155[Costo Presupuestado]-Savings23354759718395107119131155[Costo Real]</f>
        <v>0</v>
      </c>
      <c r="F9" s="3"/>
      <c r="G9" s="56" t="s">
        <v>89</v>
      </c>
      <c r="H9" s="57"/>
      <c r="I9" s="3"/>
      <c r="J9" s="3"/>
      <c r="K9" s="19" t="s">
        <v>0</v>
      </c>
      <c r="L9" s="19"/>
      <c r="Q9" s="19"/>
      <c r="R9" s="19"/>
    </row>
    <row r="10" spans="1:18" x14ac:dyDescent="0.25">
      <c r="B10" s="36" t="s">
        <v>80</v>
      </c>
      <c r="C10" s="40">
        <f>+Savings23143[[#This Row],[Costo Presupuestado]]+Savings23[[#This Row],[Costo Presupuestado]]+Savings[[#This Row],[Costo Presupuestado]]+Savings2335[[#This Row],[Costo Presupuestado]]+Savings233547[[#This Row],[Costo Presupuestado]]+Savings23354759[[#This Row],[Costo Presupuestado]]+Savings2335475971[[#This Row],[Costo Presupuestado]]+Savings233547597183[[#This Row],[Costo Presupuestado]]+Savings23354759718395[[#This Row],[Costo Presupuestado]]+Savings23354759718395107[[#This Row],[Costo Presupuestado]]+Savings23354759718395107119[[#This Row],[Costo Presupuestado]]+Savings23354759718395107119131[[#This Row],[Costo Presupuestado]]</f>
        <v>0</v>
      </c>
      <c r="D10" s="40">
        <f>+Savings23143[[#This Row],[Costo Real]]+Savings23[[#This Row],[Costo Real]]+Savings[[#This Row],[Costo Real]]+Savings2335[[#This Row],[Costo Real]]+Savings233547[[#This Row],[Costo Real]]+Savings23354759[[#This Row],[Costo Real]]+Savings2335475971[[#This Row],[Costo Real]]+Savings233547597183[[#This Row],[Costo Real]]+Savings23354759718395[[#This Row],[Costo Real]]+Savings23354759718395107[[#This Row],[Costo Real]]+Savings23354759718395107119[[#This Row],[Costo Real]]+Savings23354759718395107119131[[#This Row],[Costo Real]]</f>
        <v>0</v>
      </c>
      <c r="E10" s="40">
        <f>Savings23354759718395107119131155[Costo Presupuestado]-Savings23354759718395107119131155[Costo Real]</f>
        <v>0</v>
      </c>
      <c r="F10" s="3"/>
      <c r="G10" s="26" t="s">
        <v>10</v>
      </c>
      <c r="H10" s="48">
        <f>+Enero!H10+Febrero!H10+Marzo!H10+Abril!H10+Mayo!H10+Junio!H10+Julio!H10+Agosto!H10+Septiembre!H10+Octubre!H10+Noviembre!H10+Diciembre!H10</f>
        <v>576000</v>
      </c>
      <c r="I10" s="3"/>
      <c r="J10" s="3"/>
      <c r="K10" s="19"/>
      <c r="L10" s="19"/>
      <c r="Q10" s="19"/>
      <c r="R10" s="19"/>
    </row>
    <row r="11" spans="1:18" ht="25.5" x14ac:dyDescent="0.25">
      <c r="B11" s="3" t="s">
        <v>79</v>
      </c>
      <c r="C11" s="40">
        <f>+Savings23143[[#This Row],[Costo Presupuestado]]+Savings23[[#This Row],[Costo Presupuestado]]+Savings[[#This Row],[Costo Presupuestado]]+Savings2335[[#This Row],[Costo Presupuestado]]+Savings233547[[#This Row],[Costo Presupuestado]]+Savings23354759[[#This Row],[Costo Presupuestado]]+Savings2335475971[[#This Row],[Costo Presupuestado]]+Savings233547597183[[#This Row],[Costo Presupuestado]]+Savings23354759718395[[#This Row],[Costo Presupuestado]]+Savings23354759718395107[[#This Row],[Costo Presupuestado]]+Savings23354759718395107119[[#This Row],[Costo Presupuestado]]+Savings23354759718395107119131[[#This Row],[Costo Presupuestado]]</f>
        <v>0</v>
      </c>
      <c r="D11" s="40">
        <f>+Savings23143[[#This Row],[Costo Real]]+Savings23[[#This Row],[Costo Real]]+Savings[[#This Row],[Costo Real]]+Savings2335[[#This Row],[Costo Real]]+Savings233547[[#This Row],[Costo Real]]+Savings23354759[[#This Row],[Costo Real]]+Savings2335475971[[#This Row],[Costo Real]]+Savings233547597183[[#This Row],[Costo Real]]+Savings23354759718395[[#This Row],[Costo Real]]+Savings23354759718395107[[#This Row],[Costo Real]]+Savings23354759718395107119[[#This Row],[Costo Real]]+Savings23354759718395107119131[[#This Row],[Costo Real]]</f>
        <v>0</v>
      </c>
      <c r="E11" s="40">
        <f>Savings23354759718395107119131155[Costo Presupuestado]-Savings23354759718395107119131155[Costo Real]</f>
        <v>0</v>
      </c>
      <c r="F11" s="3"/>
      <c r="G11" s="26" t="s">
        <v>11</v>
      </c>
      <c r="H11" s="48">
        <f>+Enero!H11+Febrero!H11+Marzo!H11+Abril!H11+Mayo!H11+Junio!H11+Julio!H11+Agosto!H11+Septiembre!H11+Octubre!H11+Noviembre!H11+Diciembre!H11</f>
        <v>54000</v>
      </c>
      <c r="I11" s="3"/>
      <c r="J11" s="3"/>
      <c r="K11" s="19"/>
      <c r="L11" s="19"/>
      <c r="Q11" s="58"/>
      <c r="R11" s="58"/>
    </row>
    <row r="12" spans="1:18" x14ac:dyDescent="0.25">
      <c r="B12" s="34" t="s">
        <v>3</v>
      </c>
      <c r="C12" s="41">
        <f>SUBTOTAL(109,Savings23354759718395107119131155[Costo Presupuestado])</f>
        <v>60000</v>
      </c>
      <c r="D12" s="41">
        <f>SUBTOTAL(109,Savings23354759718395107119131155[Costo Real])</f>
        <v>60000</v>
      </c>
      <c r="E12" s="41">
        <f>SUBTOTAL(109,Savings23354759718395107119131155[Diferencia])</f>
        <v>0</v>
      </c>
      <c r="F12" s="3"/>
      <c r="G12" s="26" t="s">
        <v>12</v>
      </c>
      <c r="H12" s="48">
        <f>+Enero!H12+Febrero!H12+Marzo!H12+Abril!H12+Mayo!H12+Junio!H12+Julio!H12+Agosto!H12+Septiembre!H12+Octubre!H12+Noviembre!H12+Diciembre!H12</f>
        <v>0</v>
      </c>
      <c r="I12" s="3"/>
      <c r="J12" s="3"/>
      <c r="K12" s="19"/>
      <c r="L12" s="19"/>
      <c r="Q12" s="7"/>
      <c r="R12" s="8"/>
    </row>
    <row r="13" spans="1:18" ht="26.25" thickBot="1" x14ac:dyDescent="0.3">
      <c r="F13" s="3"/>
      <c r="G13" s="27" t="s">
        <v>13</v>
      </c>
      <c r="H13" s="47">
        <f>SUM(H10:H12)</f>
        <v>630000</v>
      </c>
      <c r="I13" s="3"/>
      <c r="J13" s="3"/>
      <c r="K13" s="19"/>
      <c r="L13" s="19"/>
      <c r="Q13" s="7"/>
      <c r="R13" s="8"/>
    </row>
    <row r="14" spans="1:18" ht="26.25" thickBot="1" x14ac:dyDescent="0.3">
      <c r="B14" s="12" t="s">
        <v>17</v>
      </c>
      <c r="C14" s="13" t="s">
        <v>18</v>
      </c>
      <c r="D14" s="13" t="s">
        <v>19</v>
      </c>
      <c r="E14" s="13" t="s">
        <v>8</v>
      </c>
      <c r="F14" s="3"/>
      <c r="G14" s="2"/>
      <c r="H14" s="2"/>
      <c r="I14" s="3"/>
      <c r="J14" s="3"/>
      <c r="K14" s="19"/>
      <c r="L14" s="19"/>
      <c r="Q14" s="7"/>
      <c r="R14" s="8"/>
    </row>
    <row r="15" spans="1:18" ht="25.5" x14ac:dyDescent="0.25">
      <c r="B15" s="3" t="s">
        <v>36</v>
      </c>
      <c r="C15" s="40">
        <f>+Housing11134[[#This Row],[Costo Presupuestado]]+Housing11[[#This Row],[Costo Presupuestado]]+Housing[[#This Row],[Costo Presupuestado]]+Housing1126[[#This Row],[Costo Presupuestado]]+Housing112638[[#This Row],[Costo Presupuestado]]+Housing11263850[[#This Row],[Costo Presupuestado]]+Housing1126385062[[#This Row],[Costo Presupuestado]]+Housing112638506274[[#This Row],[Costo Presupuestado]]+Housing11263850627486[[#This Row],[Costo Presupuestado]]+Housing1126385062748698[[#This Row],[Costo Presupuestado]]+Housing1126385062748698110[[#This Row],[Costo Presupuestado]]+Housing1126385062748698110122[[#This Row],[Costo Presupuestado]]</f>
        <v>192000</v>
      </c>
      <c r="D15" s="40">
        <f>+Housing11134[[#This Row],[Costo Real]]+Housing11[[#This Row],[Costo Real]]+Housing[[#This Row],[Costo Real]]+Housing1126[[#This Row],[Costo Real]]+Housing112638[[#This Row],[Costo Real]]+Housing11263850[[#This Row],[Costo Real]]+Housing1126385062[[#This Row],[Costo Real]]+Housing112638506274[[#This Row],[Costo Real]]+Housing11263850627486[[#This Row],[Costo Real]]+Housing1126385062748698[[#This Row],[Costo Real]]+Housing1126385062748698110[[#This Row],[Costo Real]]+Housing1126385062748698110122[[#This Row],[Costo Real]]</f>
        <v>192000</v>
      </c>
      <c r="E15" s="4">
        <f>Housing1126385062748698110122146[Costo Presupuestado]-Housing1126385062748698110122146[Costo Real]</f>
        <v>0</v>
      </c>
      <c r="F15" s="3"/>
      <c r="G15" s="29" t="s">
        <v>15</v>
      </c>
      <c r="H15" s="43">
        <f>SUM(H7-C4)</f>
        <v>129000</v>
      </c>
      <c r="I15" s="3"/>
      <c r="J15" s="3"/>
      <c r="K15" s="19"/>
      <c r="L15" s="19"/>
      <c r="Q15" s="7"/>
      <c r="R15" s="8"/>
    </row>
    <row r="16" spans="1:18" ht="25.5" customHeight="1" x14ac:dyDescent="0.25">
      <c r="B16" s="3" t="s">
        <v>37</v>
      </c>
      <c r="C16" s="40">
        <f>+Housing11134[[#This Row],[Costo Presupuestado]]+Housing11[[#This Row],[Costo Presupuestado]]+Housing[[#This Row],[Costo Presupuestado]]+Housing1126[[#This Row],[Costo Presupuestado]]+Housing112638[[#This Row],[Costo Presupuestado]]+Housing11263850[[#This Row],[Costo Presupuestado]]+Housing1126385062[[#This Row],[Costo Presupuestado]]+Housing112638506274[[#This Row],[Costo Presupuestado]]+Housing11263850627486[[#This Row],[Costo Presupuestado]]+Housing1126385062748698[[#This Row],[Costo Presupuestado]]+Housing1126385062748698110[[#This Row],[Costo Presupuestado]]+Housing1126385062748698110122[[#This Row],[Costo Presupuestado]]</f>
        <v>0</v>
      </c>
      <c r="D16" s="40">
        <f>+Housing11134[[#This Row],[Costo Real]]+Housing11[[#This Row],[Costo Real]]+Housing[[#This Row],[Costo Real]]+Housing1126[[#This Row],[Costo Real]]+Housing112638[[#This Row],[Costo Real]]+Housing11263850[[#This Row],[Costo Real]]+Housing1126385062[[#This Row],[Costo Real]]+Housing112638506274[[#This Row],[Costo Real]]+Housing11263850627486[[#This Row],[Costo Real]]+Housing1126385062748698[[#This Row],[Costo Real]]+Housing1126385062748698110[[#This Row],[Costo Real]]+Housing1126385062748698110122[[#This Row],[Costo Real]]</f>
        <v>0</v>
      </c>
      <c r="E16" s="4">
        <f>Housing1126385062748698110122146[Costo Presupuestado]-Housing1126385062748698110122146[Costo Real]</f>
        <v>0</v>
      </c>
      <c r="F16" s="3"/>
      <c r="G16" s="30" t="s">
        <v>16</v>
      </c>
      <c r="H16" s="44">
        <f>SUM(H13-D4)</f>
        <v>151872</v>
      </c>
      <c r="I16" s="3"/>
      <c r="J16" s="3"/>
      <c r="K16" s="19"/>
      <c r="L16" s="19"/>
      <c r="Q16" s="10"/>
      <c r="R16" s="2"/>
    </row>
    <row r="17" spans="2:18" ht="15.75" thickBot="1" x14ac:dyDescent="0.3">
      <c r="B17" s="3" t="s">
        <v>38</v>
      </c>
      <c r="C17" s="40">
        <f>+Housing11134[[#This Row],[Costo Presupuestado]]+Housing11[[#This Row],[Costo Presupuestado]]+Housing[[#This Row],[Costo Presupuestado]]+Housing1126[[#This Row],[Costo Presupuestado]]+Housing112638[[#This Row],[Costo Presupuestado]]+Housing11263850[[#This Row],[Costo Presupuestado]]+Housing1126385062[[#This Row],[Costo Presupuestado]]+Housing112638506274[[#This Row],[Costo Presupuestado]]+Housing11263850627486[[#This Row],[Costo Presupuestado]]+Housing1126385062748698[[#This Row],[Costo Presupuestado]]+Housing1126385062748698110[[#This Row],[Costo Presupuestado]]+Housing1126385062748698110122[[#This Row],[Costo Presupuestado]]</f>
        <v>0</v>
      </c>
      <c r="D17" s="40">
        <f>+Housing11134[[#This Row],[Costo Real]]+Housing11[[#This Row],[Costo Real]]+Housing[[#This Row],[Costo Real]]+Housing1126[[#This Row],[Costo Real]]+Housing112638[[#This Row],[Costo Real]]+Housing11263850[[#This Row],[Costo Real]]+Housing1126385062[[#This Row],[Costo Real]]+Housing112638506274[[#This Row],[Costo Real]]+Housing11263850627486[[#This Row],[Costo Real]]+Housing1126385062748698[[#This Row],[Costo Real]]+Housing1126385062748698110[[#This Row],[Costo Real]]+Housing1126385062748698110122[[#This Row],[Costo Real]]</f>
        <v>0</v>
      </c>
      <c r="E17" s="4">
        <f>Housing1126385062748698110122146[Costo Presupuestado]-Housing1126385062748698110122146[Costo Real]</f>
        <v>0</v>
      </c>
      <c r="F17" s="3"/>
      <c r="G17" s="31" t="s">
        <v>8</v>
      </c>
      <c r="H17" s="45">
        <f>SUM(H16-H15)</f>
        <v>22872</v>
      </c>
      <c r="I17" s="3"/>
      <c r="J17" s="3"/>
      <c r="K17" s="19"/>
      <c r="L17" s="19"/>
      <c r="Q17" s="58"/>
      <c r="R17" s="58"/>
    </row>
    <row r="18" spans="2:18" x14ac:dyDescent="0.25">
      <c r="B18" s="3" t="s">
        <v>31</v>
      </c>
      <c r="C18" s="40">
        <f>+Housing11134[[#This Row],[Costo Presupuestado]]+Housing11[[#This Row],[Costo Presupuestado]]+Housing[[#This Row],[Costo Presupuestado]]+Housing1126[[#This Row],[Costo Presupuestado]]+Housing112638[[#This Row],[Costo Presupuestado]]+Housing11263850[[#This Row],[Costo Presupuestado]]+Housing1126385062[[#This Row],[Costo Presupuestado]]+Housing112638506274[[#This Row],[Costo Presupuestado]]+Housing11263850627486[[#This Row],[Costo Presupuestado]]+Housing1126385062748698[[#This Row],[Costo Presupuestado]]+Housing1126385062748698110[[#This Row],[Costo Presupuestado]]+Housing1126385062748698110122[[#This Row],[Costo Presupuestado]]</f>
        <v>2400</v>
      </c>
      <c r="D18" s="40">
        <f>+Housing11134[[#This Row],[Costo Real]]+Housing11[[#This Row],[Costo Real]]+Housing[[#This Row],[Costo Real]]+Housing1126[[#This Row],[Costo Real]]+Housing112638[[#This Row],[Costo Real]]+Housing11263850[[#This Row],[Costo Real]]+Housing1126385062[[#This Row],[Costo Real]]+Housing112638506274[[#This Row],[Costo Real]]+Housing11263850627486[[#This Row],[Costo Real]]+Housing1126385062748698[[#This Row],[Costo Real]]+Housing1126385062748698110[[#This Row],[Costo Real]]+Housing1126385062748698110122[[#This Row],[Costo Real]]</f>
        <v>2400</v>
      </c>
      <c r="E18" s="4">
        <f>Housing1126385062748698110122146[Costo Presupuestado]-Housing1126385062748698110122146[Costo Real]</f>
        <v>0</v>
      </c>
      <c r="F18" s="3"/>
      <c r="G18" s="3"/>
      <c r="H18" s="3"/>
      <c r="I18" s="3"/>
      <c r="J18" s="3"/>
      <c r="K18" s="19"/>
      <c r="L18" s="19"/>
      <c r="Q18" s="7"/>
      <c r="R18" s="8"/>
    </row>
    <row r="19" spans="2:18" x14ac:dyDescent="0.25">
      <c r="B19" s="3" t="s">
        <v>32</v>
      </c>
      <c r="C19" s="40">
        <f>+Housing11134[[#This Row],[Costo Presupuestado]]+Housing11[[#This Row],[Costo Presupuestado]]+Housing[[#This Row],[Costo Presupuestado]]+Housing1126[[#This Row],[Costo Presupuestado]]+Housing112638[[#This Row],[Costo Presupuestado]]+Housing11263850[[#This Row],[Costo Presupuestado]]+Housing1126385062[[#This Row],[Costo Presupuestado]]+Housing112638506274[[#This Row],[Costo Presupuestado]]+Housing11263850627486[[#This Row],[Costo Presupuestado]]+Housing1126385062748698[[#This Row],[Costo Presupuestado]]+Housing1126385062748698110[[#This Row],[Costo Presupuestado]]+Housing1126385062748698110122[[#This Row],[Costo Presupuestado]]</f>
        <v>1200</v>
      </c>
      <c r="D19" s="40">
        <f>+Housing11134[[#This Row],[Costo Real]]+Housing11[[#This Row],[Costo Real]]+Housing[[#This Row],[Costo Real]]+Housing1126[[#This Row],[Costo Real]]+Housing112638[[#This Row],[Costo Real]]+Housing11263850[[#This Row],[Costo Real]]+Housing1126385062[[#This Row],[Costo Real]]+Housing112638506274[[#This Row],[Costo Real]]+Housing11263850627486[[#This Row],[Costo Real]]+Housing1126385062748698[[#This Row],[Costo Real]]+Housing1126385062748698110[[#This Row],[Costo Real]]+Housing1126385062748698110122[[#This Row],[Costo Real]]</f>
        <v>1200</v>
      </c>
      <c r="E19" s="4">
        <f>Housing1126385062748698110122146[Costo Presupuestado]-Housing1126385062748698110122146[Costo Real]</f>
        <v>0</v>
      </c>
      <c r="F19" s="3"/>
      <c r="G19" s="18"/>
      <c r="H19" s="18"/>
      <c r="I19" s="18"/>
      <c r="J19" s="18"/>
      <c r="K19" s="19"/>
      <c r="L19" s="19"/>
      <c r="Q19" s="7"/>
      <c r="R19" s="8"/>
    </row>
    <row r="20" spans="2:18" ht="25.5" x14ac:dyDescent="0.25">
      <c r="B20" s="3" t="s">
        <v>33</v>
      </c>
      <c r="C20" s="40">
        <f>+Housing11134[[#This Row],[Costo Presupuestado]]+Housing11[[#This Row],[Costo Presupuestado]]+Housing[[#This Row],[Costo Presupuestado]]+Housing1126[[#This Row],[Costo Presupuestado]]+Housing112638[[#This Row],[Costo Presupuestado]]+Housing11263850[[#This Row],[Costo Presupuestado]]+Housing1126385062[[#This Row],[Costo Presupuestado]]+Housing112638506274[[#This Row],[Costo Presupuestado]]+Housing11263850627486[[#This Row],[Costo Presupuestado]]+Housing1126385062748698[[#This Row],[Costo Presupuestado]]+Housing1126385062748698110[[#This Row],[Costo Presupuestado]]+Housing1126385062748698110122[[#This Row],[Costo Presupuestado]]</f>
        <v>0</v>
      </c>
      <c r="D20" s="40">
        <f>+Housing11134[[#This Row],[Costo Real]]+Housing11[[#This Row],[Costo Real]]+Housing[[#This Row],[Costo Real]]+Housing1126[[#This Row],[Costo Real]]+Housing112638[[#This Row],[Costo Real]]+Housing11263850[[#This Row],[Costo Real]]+Housing1126385062[[#This Row],[Costo Real]]+Housing112638506274[[#This Row],[Costo Real]]+Housing11263850627486[[#This Row],[Costo Real]]+Housing1126385062748698[[#This Row],[Costo Real]]+Housing1126385062748698110[[#This Row],[Costo Real]]+Housing1126385062748698110122[[#This Row],[Costo Real]]</f>
        <v>0</v>
      </c>
      <c r="E20" s="4">
        <f>Housing1126385062748698110122146[Costo Presupuestado]-Housing1126385062748698110122146[Costo Real]</f>
        <v>0</v>
      </c>
      <c r="F20" s="3"/>
      <c r="G20" s="14" t="s">
        <v>29</v>
      </c>
      <c r="H20" s="13" t="s">
        <v>18</v>
      </c>
      <c r="I20" s="13" t="s">
        <v>19</v>
      </c>
      <c r="J20" s="13" t="s">
        <v>8</v>
      </c>
      <c r="K20" s="19"/>
      <c r="L20" s="19"/>
      <c r="Q20" s="7"/>
      <c r="R20" s="8"/>
    </row>
    <row r="21" spans="2:18" ht="25.5" x14ac:dyDescent="0.25">
      <c r="B21" s="3" t="s">
        <v>1</v>
      </c>
      <c r="C21" s="40">
        <f>+Housing11134[[#This Row],[Costo Presupuestado]]+Housing11[[#This Row],[Costo Presupuestado]]+Housing[[#This Row],[Costo Presupuestado]]+Housing1126[[#This Row],[Costo Presupuestado]]+Housing112638[[#This Row],[Costo Presupuestado]]+Housing11263850[[#This Row],[Costo Presupuestado]]+Housing1126385062[[#This Row],[Costo Presupuestado]]+Housing112638506274[[#This Row],[Costo Presupuestado]]+Housing11263850627486[[#This Row],[Costo Presupuestado]]+Housing1126385062748698[[#This Row],[Costo Presupuestado]]+Housing1126385062748698110[[#This Row],[Costo Presupuestado]]+Housing1126385062748698110122[[#This Row],[Costo Presupuestado]]</f>
        <v>12000</v>
      </c>
      <c r="D21" s="40">
        <f>+Housing11134[[#This Row],[Costo Real]]+Housing11[[#This Row],[Costo Real]]+Housing[[#This Row],[Costo Real]]+Housing1126[[#This Row],[Costo Real]]+Housing112638[[#This Row],[Costo Real]]+Housing11263850[[#This Row],[Costo Real]]+Housing1126385062[[#This Row],[Costo Real]]+Housing112638506274[[#This Row],[Costo Real]]+Housing11263850627486[[#This Row],[Costo Real]]+Housing1126385062748698[[#This Row],[Costo Real]]+Housing1126385062748698110[[#This Row],[Costo Real]]+Housing1126385062748698110122[[#This Row],[Costo Real]]</f>
        <v>10800</v>
      </c>
      <c r="E21" s="4">
        <f>Housing1126385062748698110122146[Costo Presupuestado]-Housing1126385062748698110122146[Costo Real]</f>
        <v>1200</v>
      </c>
      <c r="F21" s="3"/>
      <c r="G21" s="3" t="s">
        <v>87</v>
      </c>
      <c r="H21" s="40">
        <f>+Entertainment21141[[#This Row],[Costo Presupuestado]]+Entertainment21[[#This Row],[Costo Presupuestado]]+Entertainment[[#This Row],[Costo Presupuestado]]+Entertainment2133[[#This Row],[Costo Presupuestado]]+Entertainment213345[[#This Row],[Costo Presupuestado]]+Entertainment21334557[[#This Row],[Costo Presupuestado]]+Entertainment2133455769[[#This Row],[Costo Presupuestado]]+Entertainment213345576981[[#This Row],[Costo Presupuestado]]+Entertainment21334557698193[[#This Row],[Costo Presupuestado]]+Entertainment21334557698193105[[#This Row],[Costo Presupuestado]]+Entertainment21334557698193105117[[#This Row],[Costo Presupuestado]]+Entertainment21334557698193105117129[[#This Row],[Costo Presupuestado]]</f>
        <v>0</v>
      </c>
      <c r="I21" s="40">
        <f>+Entertainment21141[[#This Row],[Costo Real]]+Entertainment21[[#This Row],[Costo Real]]+Entertainment[[#This Row],[Costo Real]]+Entertainment2133[[#This Row],[Costo Real]]+Entertainment213345[[#This Row],[Costo Real]]+Entertainment21334557[[#This Row],[Costo Real]]+Entertainment2133455769[[#This Row],[Costo Real]]+Entertainment213345576981[[#This Row],[Costo Real]]+Entertainment21334557698193[[#This Row],[Costo Real]]+Entertainment21334557698193105[[#This Row],[Costo Real]]+Entertainment21334557698193105117[[#This Row],[Costo Real]]+Entertainment21334557698193105117129[[#This Row],[Costo Real]]</f>
        <v>0</v>
      </c>
      <c r="J21" s="4">
        <f>Entertainment21334557698193105117129153[Costo Presupuestado]-Entertainment21334557698193105117129153[Costo Real]</f>
        <v>0</v>
      </c>
      <c r="K21" s="19"/>
      <c r="L21" s="19"/>
      <c r="Q21" s="7"/>
      <c r="R21" s="8"/>
    </row>
    <row r="22" spans="2:18" ht="25.5" customHeight="1" x14ac:dyDescent="0.25">
      <c r="B22" s="3" t="s">
        <v>2</v>
      </c>
      <c r="C22" s="40">
        <f>+Housing11134[[#This Row],[Costo Presupuestado]]+Housing11[[#This Row],[Costo Presupuestado]]+Housing[[#This Row],[Costo Presupuestado]]+Housing1126[[#This Row],[Costo Presupuestado]]+Housing112638[[#This Row],[Costo Presupuestado]]+Housing11263850[[#This Row],[Costo Presupuestado]]+Housing1126385062[[#This Row],[Costo Presupuestado]]+Housing112638506274[[#This Row],[Costo Presupuestado]]+Housing11263850627486[[#This Row],[Costo Presupuestado]]+Housing1126385062748698[[#This Row],[Costo Presupuestado]]+Housing1126385062748698110[[#This Row],[Costo Presupuestado]]+Housing1126385062748698110122[[#This Row],[Costo Presupuestado]]</f>
        <v>5400</v>
      </c>
      <c r="D22" s="40">
        <f>+Housing11134[[#This Row],[Costo Real]]+Housing11[[#This Row],[Costo Real]]+Housing[[#This Row],[Costo Real]]+Housing1126[[#This Row],[Costo Real]]+Housing112638[[#This Row],[Costo Real]]+Housing11263850[[#This Row],[Costo Real]]+Housing1126385062[[#This Row],[Costo Real]]+Housing112638506274[[#This Row],[Costo Real]]+Housing11263850627486[[#This Row],[Costo Real]]+Housing1126385062748698[[#This Row],[Costo Real]]+Housing1126385062748698110[[#This Row],[Costo Real]]+Housing1126385062748698110122[[#This Row],[Costo Real]]</f>
        <v>4800</v>
      </c>
      <c r="E22" s="4">
        <f>Housing1126385062748698110122146[Costo Presupuestado]-Housing1126385062748698110122146[Costo Real]</f>
        <v>600</v>
      </c>
      <c r="F22" s="3"/>
      <c r="G22" s="3" t="s">
        <v>86</v>
      </c>
      <c r="H22" s="40">
        <f>+Entertainment21141[[#This Row],[Costo Presupuestado]]+Entertainment21[[#This Row],[Costo Presupuestado]]+Entertainment[[#This Row],[Costo Presupuestado]]+Entertainment2133[[#This Row],[Costo Presupuestado]]+Entertainment213345[[#This Row],[Costo Presupuestado]]+Entertainment21334557[[#This Row],[Costo Presupuestado]]+Entertainment2133455769[[#This Row],[Costo Presupuestado]]+Entertainment213345576981[[#This Row],[Costo Presupuestado]]+Entertainment21334557698193[[#This Row],[Costo Presupuestado]]+Entertainment21334557698193105[[#This Row],[Costo Presupuestado]]+Entertainment21334557698193105117[[#This Row],[Costo Presupuestado]]+Entertainment21334557698193105117129[[#This Row],[Costo Presupuestado]]</f>
        <v>60000</v>
      </c>
      <c r="I22" s="40">
        <f>+Entertainment21141[[#This Row],[Costo Real]]+Entertainment21[[#This Row],[Costo Real]]+Entertainment[[#This Row],[Costo Real]]+Entertainment2133[[#This Row],[Costo Real]]+Entertainment213345[[#This Row],[Costo Real]]+Entertainment21334557[[#This Row],[Costo Real]]+Entertainment2133455769[[#This Row],[Costo Real]]+Entertainment213345576981[[#This Row],[Costo Real]]+Entertainment21334557698193[[#This Row],[Costo Real]]+Entertainment21334557698193105[[#This Row],[Costo Real]]+Entertainment21334557698193105117[[#This Row],[Costo Real]]+Entertainment21334557698193105117129[[#This Row],[Costo Real]]</f>
        <v>48000</v>
      </c>
      <c r="J22" s="4">
        <f>Entertainment21334557698193105117129153[Costo Presupuestado]-Entertainment21334557698193105117129153[Costo Real]</f>
        <v>12000</v>
      </c>
      <c r="K22" s="19"/>
      <c r="L22" s="19"/>
      <c r="Q22" s="2"/>
      <c r="R22" s="2"/>
    </row>
    <row r="23" spans="2:18" x14ac:dyDescent="0.25">
      <c r="B23" s="3" t="s">
        <v>34</v>
      </c>
      <c r="C23" s="40">
        <f>+Housing11134[[#This Row],[Costo Presupuestado]]+Housing11[[#This Row],[Costo Presupuestado]]+Housing[[#This Row],[Costo Presupuestado]]+Housing1126[[#This Row],[Costo Presupuestado]]+Housing112638[[#This Row],[Costo Presupuestado]]+Housing11263850[[#This Row],[Costo Presupuestado]]+Housing1126385062[[#This Row],[Costo Presupuestado]]+Housing112638506274[[#This Row],[Costo Presupuestado]]+Housing11263850627486[[#This Row],[Costo Presupuestado]]+Housing1126385062748698[[#This Row],[Costo Presupuestado]]+Housing1126385062748698110[[#This Row],[Costo Presupuestado]]+Housing1126385062748698110122[[#This Row],[Costo Presupuestado]]</f>
        <v>21600</v>
      </c>
      <c r="D23" s="40">
        <f>+Housing11134[[#This Row],[Costo Real]]+Housing11[[#This Row],[Costo Real]]+Housing[[#This Row],[Costo Real]]+Housing1126[[#This Row],[Costo Real]]+Housing112638[[#This Row],[Costo Real]]+Housing11263850[[#This Row],[Costo Real]]+Housing1126385062[[#This Row],[Costo Real]]+Housing112638506274[[#This Row],[Costo Real]]+Housing11263850627486[[#This Row],[Costo Real]]+Housing1126385062748698[[#This Row],[Costo Real]]+Housing1126385062748698110[[#This Row],[Costo Real]]+Housing1126385062748698110122[[#This Row],[Costo Real]]</f>
        <v>19200</v>
      </c>
      <c r="E23" s="9">
        <f>Housing1126385062748698110122146[Costo Presupuestado]-Housing1126385062748698110122146[Costo Real]</f>
        <v>2400</v>
      </c>
      <c r="F23" s="3"/>
      <c r="G23" s="3" t="s">
        <v>82</v>
      </c>
      <c r="H23" s="40">
        <f>+Entertainment21141[[#This Row],[Costo Presupuestado]]+Entertainment21[[#This Row],[Costo Presupuestado]]+Entertainment[[#This Row],[Costo Presupuestado]]+Entertainment2133[[#This Row],[Costo Presupuestado]]+Entertainment213345[[#This Row],[Costo Presupuestado]]+Entertainment21334557[[#This Row],[Costo Presupuestado]]+Entertainment2133455769[[#This Row],[Costo Presupuestado]]+Entertainment213345576981[[#This Row],[Costo Presupuestado]]+Entertainment21334557698193[[#This Row],[Costo Presupuestado]]+Entertainment21334557698193105[[#This Row],[Costo Presupuestado]]+Entertainment21334557698193105117[[#This Row],[Costo Presupuestado]]+Entertainment21334557698193105117129[[#This Row],[Costo Presupuestado]]</f>
        <v>8400</v>
      </c>
      <c r="I23" s="40">
        <f>+Entertainment21141[[#This Row],[Costo Real]]+Entertainment21[[#This Row],[Costo Real]]+Entertainment[[#This Row],[Costo Real]]+Entertainment2133[[#This Row],[Costo Real]]+Entertainment213345[[#This Row],[Costo Real]]+Entertainment21334557[[#This Row],[Costo Real]]+Entertainment2133455769[[#This Row],[Costo Real]]+Entertainment213345576981[[#This Row],[Costo Real]]+Entertainment21334557698193[[#This Row],[Costo Real]]+Entertainment21334557698193105[[#This Row],[Costo Real]]+Entertainment21334557698193105117[[#This Row],[Costo Real]]+Entertainment21334557698193105117129[[#This Row],[Costo Real]]</f>
        <v>12000</v>
      </c>
      <c r="J23" s="4">
        <f>Entertainment21334557698193105117129153[Costo Presupuestado]-Entertainment21334557698193105117129153[Costo Real]</f>
        <v>-3600</v>
      </c>
      <c r="K23" s="19"/>
      <c r="L23" s="19"/>
      <c r="Q23" s="20"/>
      <c r="R23" s="11"/>
    </row>
    <row r="24" spans="2:18" x14ac:dyDescent="0.25">
      <c r="B24" s="3" t="s">
        <v>35</v>
      </c>
      <c r="C24" s="40">
        <f>+Housing11134[[#This Row],[Costo Presupuestado]]+Housing11[[#This Row],[Costo Presupuestado]]+Housing[[#This Row],[Costo Presupuestado]]+Housing1126[[#This Row],[Costo Presupuestado]]+Housing112638[[#This Row],[Costo Presupuestado]]+Housing11263850[[#This Row],[Costo Presupuestado]]+Housing1126385062[[#This Row],[Costo Presupuestado]]+Housing112638506274[[#This Row],[Costo Presupuestado]]+Housing11263850627486[[#This Row],[Costo Presupuestado]]+Housing1126385062748698[[#This Row],[Costo Presupuestado]]+Housing1126385062748698110[[#This Row],[Costo Presupuestado]]+Housing1126385062748698110122[[#This Row],[Costo Presupuestado]]</f>
        <v>6000</v>
      </c>
      <c r="D24" s="40">
        <f>+Housing11134[[#This Row],[Costo Real]]+Housing11[[#This Row],[Costo Real]]+Housing[[#This Row],[Costo Real]]+Housing1126[[#This Row],[Costo Real]]+Housing112638[[#This Row],[Costo Real]]+Housing11263850[[#This Row],[Costo Real]]+Housing1126385062[[#This Row],[Costo Real]]+Housing112638506274[[#This Row],[Costo Real]]+Housing11263850627486[[#This Row],[Costo Real]]+Housing1126385062748698[[#This Row],[Costo Real]]+Housing1126385062748698110[[#This Row],[Costo Real]]+Housing1126385062748698110122[[#This Row],[Costo Real]]</f>
        <v>528</v>
      </c>
      <c r="E24" s="4">
        <f>Housing1126385062748698110122146[Costo Presupuestado]-Housing1126385062748698110122146[Costo Real]</f>
        <v>5472</v>
      </c>
      <c r="F24" s="3"/>
      <c r="G24" s="3" t="s">
        <v>83</v>
      </c>
      <c r="H24" s="40">
        <f>+Entertainment21141[[#This Row],[Costo Presupuestado]]+Entertainment21[[#This Row],[Costo Presupuestado]]+Entertainment[[#This Row],[Costo Presupuestado]]+Entertainment2133[[#This Row],[Costo Presupuestado]]+Entertainment213345[[#This Row],[Costo Presupuestado]]+Entertainment21334557[[#This Row],[Costo Presupuestado]]+Entertainment2133455769[[#This Row],[Costo Presupuestado]]+Entertainment213345576981[[#This Row],[Costo Presupuestado]]+Entertainment21334557698193[[#This Row],[Costo Presupuestado]]+Entertainment21334557698193105[[#This Row],[Costo Presupuestado]]+Entertainment21334557698193105117[[#This Row],[Costo Presupuestado]]+Entertainment21334557698193105117129[[#This Row],[Costo Presupuestado]]</f>
        <v>0</v>
      </c>
      <c r="I24" s="40">
        <f>+Entertainment21141[[#This Row],[Costo Real]]+Entertainment21[[#This Row],[Costo Real]]+Entertainment[[#This Row],[Costo Real]]+Entertainment2133[[#This Row],[Costo Real]]+Entertainment213345[[#This Row],[Costo Real]]+Entertainment21334557[[#This Row],[Costo Real]]+Entertainment2133455769[[#This Row],[Costo Real]]+Entertainment213345576981[[#This Row],[Costo Real]]+Entertainment21334557698193[[#This Row],[Costo Real]]+Entertainment21334557698193105[[#This Row],[Costo Real]]+Entertainment21334557698193105117[[#This Row],[Costo Real]]+Entertainment21334557698193105117129[[#This Row],[Costo Real]]</f>
        <v>0</v>
      </c>
      <c r="J24" s="4">
        <f>Entertainment21334557698193105117129153[Costo Presupuestado]-Entertainment21334557698193105117129153[Costo Real]</f>
        <v>0</v>
      </c>
      <c r="K24" s="19"/>
      <c r="L24" s="19"/>
    </row>
    <row r="25" spans="2:18" ht="25.5" x14ac:dyDescent="0.25">
      <c r="B25" s="34" t="s">
        <v>3</v>
      </c>
      <c r="C25" s="41">
        <f>SUBTOTAL(109,Housing1126385062748698110122146[Costo Presupuestado])</f>
        <v>240600</v>
      </c>
      <c r="D25" s="41">
        <f>SUBTOTAL(109,Housing1126385062748698110122146[Costo Real])</f>
        <v>230928</v>
      </c>
      <c r="E25" s="41">
        <f>SUBTOTAL(109,Housing1126385062748698110122146[Diferencia])</f>
        <v>9672</v>
      </c>
      <c r="F25" s="3"/>
      <c r="G25" s="3" t="s">
        <v>84</v>
      </c>
      <c r="H25" s="40">
        <f>+Entertainment21141[[#This Row],[Costo Presupuestado]]+Entertainment21[[#This Row],[Costo Presupuestado]]+Entertainment[[#This Row],[Costo Presupuestado]]+Entertainment2133[[#This Row],[Costo Presupuestado]]+Entertainment213345[[#This Row],[Costo Presupuestado]]+Entertainment21334557[[#This Row],[Costo Presupuestado]]+Entertainment2133455769[[#This Row],[Costo Presupuestado]]+Entertainment213345576981[[#This Row],[Costo Presupuestado]]+Entertainment21334557698193[[#This Row],[Costo Presupuestado]]+Entertainment21334557698193105[[#This Row],[Costo Presupuestado]]+Entertainment21334557698193105117[[#This Row],[Costo Presupuestado]]+Entertainment21334557698193105117129[[#This Row],[Costo Presupuestado]]</f>
        <v>0</v>
      </c>
      <c r="I25" s="40">
        <f>+Entertainment21141[[#This Row],[Costo Real]]+Entertainment21[[#This Row],[Costo Real]]+Entertainment[[#This Row],[Costo Real]]+Entertainment2133[[#This Row],[Costo Real]]+Entertainment213345[[#This Row],[Costo Real]]+Entertainment21334557[[#This Row],[Costo Real]]+Entertainment2133455769[[#This Row],[Costo Real]]+Entertainment213345576981[[#This Row],[Costo Real]]+Entertainment21334557698193[[#This Row],[Costo Real]]+Entertainment21334557698193105[[#This Row],[Costo Real]]+Entertainment21334557698193105117[[#This Row],[Costo Real]]+Entertainment21334557698193105117129[[#This Row],[Costo Real]]</f>
        <v>0</v>
      </c>
      <c r="J25" s="4">
        <f>Entertainment21334557698193105117129153[Costo Presupuestado]-Entertainment21334557698193105117129153[Costo Real]</f>
        <v>0</v>
      </c>
      <c r="K25" s="19"/>
      <c r="L25" s="19"/>
    </row>
    <row r="26" spans="2:18" x14ac:dyDescent="0.25">
      <c r="B26" s="37"/>
      <c r="C26" s="37"/>
      <c r="D26" s="37"/>
      <c r="E26" s="37"/>
      <c r="F26" s="3"/>
      <c r="G26" s="3" t="s">
        <v>85</v>
      </c>
      <c r="H26" s="40">
        <f>+Entertainment21141[[#This Row],[Costo Presupuestado]]+Entertainment21[[#This Row],[Costo Presupuestado]]+Entertainment[[#This Row],[Costo Presupuestado]]+Entertainment2133[[#This Row],[Costo Presupuestado]]+Entertainment213345[[#This Row],[Costo Presupuestado]]+Entertainment21334557[[#This Row],[Costo Presupuestado]]+Entertainment2133455769[[#This Row],[Costo Presupuestado]]+Entertainment213345576981[[#This Row],[Costo Presupuestado]]+Entertainment21334557698193[[#This Row],[Costo Presupuestado]]+Entertainment21334557698193105[[#This Row],[Costo Presupuestado]]+Entertainment21334557698193105117[[#This Row],[Costo Presupuestado]]+Entertainment21334557698193105117129[[#This Row],[Costo Presupuestado]]</f>
        <v>0</v>
      </c>
      <c r="I26" s="40">
        <f>+Entertainment21141[[#This Row],[Costo Real]]+Entertainment21[[#This Row],[Costo Real]]+Entertainment[[#This Row],[Costo Real]]+Entertainment2133[[#This Row],[Costo Real]]+Entertainment213345[[#This Row],[Costo Real]]+Entertainment21334557[[#This Row],[Costo Real]]+Entertainment2133455769[[#This Row],[Costo Real]]+Entertainment213345576981[[#This Row],[Costo Real]]+Entertainment21334557698193[[#This Row],[Costo Real]]+Entertainment21334557698193105[[#This Row],[Costo Real]]+Entertainment21334557698193105117[[#This Row],[Costo Real]]+Entertainment21334557698193105117129[[#This Row],[Costo Real]]</f>
        <v>0</v>
      </c>
      <c r="J26" s="4">
        <f>Entertainment21334557698193105117129153[Costo Presupuestado]-Entertainment21334557698193105117129153[Costo Real]</f>
        <v>0</v>
      </c>
      <c r="K26" s="19"/>
      <c r="L26" s="19"/>
    </row>
    <row r="27" spans="2:18" ht="25.5" x14ac:dyDescent="0.25">
      <c r="B27" s="28" t="s">
        <v>30</v>
      </c>
      <c r="C27" s="13" t="s">
        <v>18</v>
      </c>
      <c r="D27" s="13" t="s">
        <v>19</v>
      </c>
      <c r="E27" s="13" t="s">
        <v>8</v>
      </c>
      <c r="F27" s="3"/>
      <c r="G27" s="3" t="s">
        <v>64</v>
      </c>
      <c r="H27" s="40">
        <f>+Entertainment21141[[#This Row],[Costo Presupuestado]]+Entertainment21[[#This Row],[Costo Presupuestado]]+Entertainment[[#This Row],[Costo Presupuestado]]+Entertainment2133[[#This Row],[Costo Presupuestado]]+Entertainment213345[[#This Row],[Costo Presupuestado]]+Entertainment21334557[[#This Row],[Costo Presupuestado]]+Entertainment2133455769[[#This Row],[Costo Presupuestado]]+Entertainment213345576981[[#This Row],[Costo Presupuestado]]+Entertainment21334557698193[[#This Row],[Costo Presupuestado]]+Entertainment21334557698193105[[#This Row],[Costo Presupuestado]]+Entertainment21334557698193105117[[#This Row],[Costo Presupuestado]]+Entertainment21334557698193105117129[[#This Row],[Costo Presupuestado]]</f>
        <v>0</v>
      </c>
      <c r="I27" s="40">
        <f>+Entertainment21141[[#This Row],[Costo Real]]+Entertainment21[[#This Row],[Costo Real]]+Entertainment[[#This Row],[Costo Real]]+Entertainment2133[[#This Row],[Costo Real]]+Entertainment213345[[#This Row],[Costo Real]]+Entertainment21334557[[#This Row],[Costo Real]]+Entertainment2133455769[[#This Row],[Costo Real]]+Entertainment213345576981[[#This Row],[Costo Real]]+Entertainment21334557698193[[#This Row],[Costo Real]]+Entertainment21334557698193105[[#This Row],[Costo Real]]+Entertainment21334557698193105117[[#This Row],[Costo Real]]+Entertainment21334557698193105117129[[#This Row],[Costo Real]]</f>
        <v>0</v>
      </c>
      <c r="J27" s="4">
        <f>Entertainment21334557698193105117129153[Costo Presupuestado]-Entertainment21334557698193105117129153[Costo Real]</f>
        <v>0</v>
      </c>
      <c r="K27" s="19"/>
      <c r="L27" s="19"/>
    </row>
    <row r="28" spans="2:18" ht="25.5" x14ac:dyDescent="0.25">
      <c r="B28" s="3" t="s">
        <v>43</v>
      </c>
      <c r="C28" s="40">
        <f>+Transportation15135[[#This Row],[Costo Presupuestado]]+Transportation15[[#This Row],[Costo Presupuestado]]+Transportation[[#This Row],[Costo Presupuestado]]+Transportation1527[[#This Row],[Costo Presupuestado]]+Transportation152739[[#This Row],[Costo Presupuestado]]+Transportation15273951[[#This Row],[Costo Presupuestado]]+Transportation1527395163[[#This Row],[Costo Presupuestado]]+Transportation152739516375[[#This Row],[Costo Presupuestado]]+Transportation15273951637587[[#This Row],[Costo Presupuestado]]+Transportation1527395163758799[[#This Row],[Costo Presupuestado]]+Transportation1527395163758799111[[#This Row],[Costo Presupuestado]]+Transportation1527395163758799111123[[#This Row],[Costo Presupuestado]]</f>
        <v>0</v>
      </c>
      <c r="D28" s="40">
        <f>+Transportation15135[[#This Row],[Costo Real]]+Transportation15[[#This Row],[Costo Real]]+Transportation[[#This Row],[Costo Real]]+Transportation1527[[#This Row],[Costo Real]]+Transportation152739[[#This Row],[Costo Real]]+Transportation15273951[[#This Row],[Costo Real]]+Transportation1527395163[[#This Row],[Costo Real]]+Transportation152739516375[[#This Row],[Costo Real]]+Transportation15273951637587[[#This Row],[Costo Real]]+Transportation1527395163758799[[#This Row],[Costo Real]]+Transportation1527395163758799111[[#This Row],[Costo Real]]+Transportation1527395163758799111123[[#This Row],[Costo Real]]</f>
        <v>0</v>
      </c>
      <c r="E28" s="4">
        <f>Transportation1527395163758799111123147[Costo Presupuestado]-Transportation1527395163758799111123147[Costo Real]</f>
        <v>0</v>
      </c>
      <c r="F28" s="3"/>
      <c r="G28" s="34" t="s">
        <v>3</v>
      </c>
      <c r="H28" s="35">
        <f>SUBTOTAL(109,Entertainment21334557698193105117129153[Costo Presupuestado])</f>
        <v>68400</v>
      </c>
      <c r="I28" s="35">
        <f>SUBTOTAL(109,Entertainment21334557698193105117129153[Costo Real])</f>
        <v>60000</v>
      </c>
      <c r="J28" s="35">
        <f>SUBTOTAL(109,Entertainment21334557698193105117129153[Diferencia])</f>
        <v>8400</v>
      </c>
      <c r="K28" s="19"/>
      <c r="L28" s="19"/>
    </row>
    <row r="29" spans="2:18" ht="25.5" x14ac:dyDescent="0.25">
      <c r="B29" s="3" t="s">
        <v>44</v>
      </c>
      <c r="C29" s="40">
        <f>+Transportation15135[[#This Row],[Costo Presupuestado]]+Transportation15[[#This Row],[Costo Presupuestado]]+Transportation[[#This Row],[Costo Presupuestado]]+Transportation1527[[#This Row],[Costo Presupuestado]]+Transportation152739[[#This Row],[Costo Presupuestado]]+Transportation15273951[[#This Row],[Costo Presupuestado]]+Transportation1527395163[[#This Row],[Costo Presupuestado]]+Transportation152739516375[[#This Row],[Costo Presupuestado]]+Transportation15273951637587[[#This Row],[Costo Presupuestado]]+Transportation1527395163758799[[#This Row],[Costo Presupuestado]]+Transportation1527395163758799111[[#This Row],[Costo Presupuestado]]+Transportation1527395163758799111123[[#This Row],[Costo Presupuestado]]</f>
        <v>0</v>
      </c>
      <c r="D29" s="40">
        <f>+Transportation15135[[#This Row],[Costo Real]]+Transportation15[[#This Row],[Costo Real]]+Transportation[[#This Row],[Costo Real]]+Transportation1527[[#This Row],[Costo Real]]+Transportation152739[[#This Row],[Costo Real]]+Transportation15273951[[#This Row],[Costo Real]]+Transportation1527395163[[#This Row],[Costo Real]]+Transportation152739516375[[#This Row],[Costo Real]]+Transportation15273951637587[[#This Row],[Costo Real]]+Transportation1527395163758799[[#This Row],[Costo Real]]+Transportation1527395163758799111[[#This Row],[Costo Real]]+Transportation1527395163758799111123[[#This Row],[Costo Real]]</f>
        <v>0</v>
      </c>
      <c r="E29" s="4">
        <f>Transportation1527395163758799111123147[Costo Presupuestado]-Transportation1527395163758799111123147[Costo Real]</f>
        <v>0</v>
      </c>
      <c r="F29" s="3"/>
      <c r="K29" s="19"/>
      <c r="L29" s="19"/>
    </row>
    <row r="30" spans="2:18" ht="25.5" x14ac:dyDescent="0.25">
      <c r="B30" s="3" t="s">
        <v>39</v>
      </c>
      <c r="C30" s="40">
        <f>+Transportation15135[[#This Row],[Costo Presupuestado]]+Transportation15[[#This Row],[Costo Presupuestado]]+Transportation[[#This Row],[Costo Presupuestado]]+Transportation1527[[#This Row],[Costo Presupuestado]]+Transportation152739[[#This Row],[Costo Presupuestado]]+Transportation15273951[[#This Row],[Costo Presupuestado]]+Transportation1527395163[[#This Row],[Costo Presupuestado]]+Transportation152739516375[[#This Row],[Costo Presupuestado]]+Transportation15273951637587[[#This Row],[Costo Presupuestado]]+Transportation1527395163758799[[#This Row],[Costo Presupuestado]]+Transportation1527395163758799111[[#This Row],[Costo Presupuestado]]+Transportation1527395163758799111123[[#This Row],[Costo Presupuestado]]</f>
        <v>0</v>
      </c>
      <c r="D30" s="40">
        <f>+Transportation15135[[#This Row],[Costo Real]]+Transportation15[[#This Row],[Costo Real]]+Transportation[[#This Row],[Costo Real]]+Transportation1527[[#This Row],[Costo Real]]+Transportation152739[[#This Row],[Costo Real]]+Transportation15273951[[#This Row],[Costo Real]]+Transportation1527395163[[#This Row],[Costo Real]]+Transportation152739516375[[#This Row],[Costo Real]]+Transportation15273951637587[[#This Row],[Costo Real]]+Transportation1527395163758799[[#This Row],[Costo Real]]+Transportation1527395163758799111[[#This Row],[Costo Real]]+Transportation1527395163758799111123[[#This Row],[Costo Real]]</f>
        <v>0</v>
      </c>
      <c r="E30" s="4">
        <f>Transportation1527395163758799111123147[Costo Presupuestado]-Transportation1527395163758799111123147[Costo Real]</f>
        <v>0</v>
      </c>
      <c r="F30" s="3"/>
      <c r="G30" s="15" t="s">
        <v>28</v>
      </c>
      <c r="H30" s="13" t="s">
        <v>18</v>
      </c>
      <c r="I30" s="13" t="s">
        <v>19</v>
      </c>
      <c r="J30" s="13" t="s">
        <v>8</v>
      </c>
      <c r="K30" s="19"/>
      <c r="L30" s="19"/>
    </row>
    <row r="31" spans="2:18" x14ac:dyDescent="0.25">
      <c r="B31" s="3" t="s">
        <v>40</v>
      </c>
      <c r="C31" s="40">
        <f>+Transportation15135[[#This Row],[Costo Presupuestado]]+Transportation15[[#This Row],[Costo Presupuestado]]+Transportation[[#This Row],[Costo Presupuestado]]+Transportation1527[[#This Row],[Costo Presupuestado]]+Transportation152739[[#This Row],[Costo Presupuestado]]+Transportation15273951[[#This Row],[Costo Presupuestado]]+Transportation1527395163[[#This Row],[Costo Presupuestado]]+Transportation152739516375[[#This Row],[Costo Presupuestado]]+Transportation15273951637587[[#This Row],[Costo Presupuestado]]+Transportation1527395163758799[[#This Row],[Costo Presupuestado]]+Transportation1527395163758799111[[#This Row],[Costo Presupuestado]]+Transportation1527395163758799111123[[#This Row],[Costo Presupuestado]]</f>
        <v>72000</v>
      </c>
      <c r="D31" s="40">
        <f>+Transportation15135[[#This Row],[Costo Real]]+Transportation15[[#This Row],[Costo Real]]+Transportation[[#This Row],[Costo Real]]+Transportation1527[[#This Row],[Costo Real]]+Transportation152739[[#This Row],[Costo Real]]+Transportation15273951[[#This Row],[Costo Real]]+Transportation1527395163[[#This Row],[Costo Real]]+Transportation152739516375[[#This Row],[Costo Real]]+Transportation15273951637587[[#This Row],[Costo Real]]+Transportation1527395163758799[[#This Row],[Costo Real]]+Transportation1527395163758799111[[#This Row],[Costo Real]]+Transportation1527395163758799111123[[#This Row],[Costo Real]]</f>
        <v>48000</v>
      </c>
      <c r="E31" s="4">
        <f>Transportation1527395163758799111123147[Costo Presupuestado]-Transportation1527395163758799111123147[Costo Real]</f>
        <v>24000</v>
      </c>
      <c r="F31" s="3"/>
      <c r="G31" s="3" t="s">
        <v>49</v>
      </c>
      <c r="H31" s="40">
        <f>+Gifts24144[[#This Row],[Costo Presupuestado]]+Gifts24[[#This Row],[Costo Presupuestado]]+Gifts[[#This Row],[Costo Presupuestado]]+Gifts2436[[#This Row],[Costo Presupuestado]]+Gifts243648[[#This Row],[Costo Presupuestado]]+Gifts24364860[[#This Row],[Costo Presupuestado]]+Gifts2436486072[[#This Row],[Costo Presupuestado]]+Gifts243648607284[[#This Row],[Costo Presupuestado]]+Gifts24364860728496[[#This Row],[Costo Presupuestado]]+Gifts24364860728496108[[#This Row],[Costo Presupuestado]]+Gifts24364860728496108120[[#This Row],[Costo Presupuestado]]+Gifts24364860728496108120132[[#This Row],[Costo Presupuestado]]</f>
        <v>0</v>
      </c>
      <c r="I31" s="40">
        <v>0</v>
      </c>
      <c r="J31" s="4">
        <f>Gifts24364860728496108120132156[Costo Presupuestado]-Gifts24364860728496108120132156[Costo Real]</f>
        <v>0</v>
      </c>
      <c r="K31" s="19"/>
      <c r="L31" s="19"/>
    </row>
    <row r="32" spans="2:18" x14ac:dyDescent="0.25">
      <c r="B32" s="3" t="s">
        <v>41</v>
      </c>
      <c r="C32" s="40">
        <f>+Transportation15135[[#This Row],[Costo Presupuestado]]+Transportation15[[#This Row],[Costo Presupuestado]]+Transportation[[#This Row],[Costo Presupuestado]]+Transportation1527[[#This Row],[Costo Presupuestado]]+Transportation152739[[#This Row],[Costo Presupuestado]]+Transportation15273951[[#This Row],[Costo Presupuestado]]+Transportation1527395163[[#This Row],[Costo Presupuestado]]+Transportation152739516375[[#This Row],[Costo Presupuestado]]+Transportation15273951637587[[#This Row],[Costo Presupuestado]]+Transportation1527395163758799[[#This Row],[Costo Presupuestado]]+Transportation1527395163758799111[[#This Row],[Costo Presupuestado]]+Transportation1527395163758799111123[[#This Row],[Costo Presupuestado]]</f>
        <v>0</v>
      </c>
      <c r="D32" s="40">
        <f>+Transportation15135[[#This Row],[Costo Real]]+Transportation15[[#This Row],[Costo Real]]+Transportation[[#This Row],[Costo Real]]+Transportation1527[[#This Row],[Costo Real]]+Transportation152739[[#This Row],[Costo Real]]+Transportation15273951[[#This Row],[Costo Real]]+Transportation1527395163[[#This Row],[Costo Real]]+Transportation152739516375[[#This Row],[Costo Real]]+Transportation15273951637587[[#This Row],[Costo Real]]+Transportation1527395163758799[[#This Row],[Costo Real]]+Transportation1527395163758799111[[#This Row],[Costo Real]]+Transportation1527395163758799111123[[#This Row],[Costo Real]]</f>
        <v>0</v>
      </c>
      <c r="E32" s="4">
        <f>Transportation1527395163758799111123147[Costo Presupuestado]-Transportation1527395163758799111123147[Costo Real]</f>
        <v>0</v>
      </c>
      <c r="F32" s="3"/>
      <c r="G32" s="3" t="s">
        <v>50</v>
      </c>
      <c r="H32" s="40">
        <f>+Gifts24144[[#This Row],[Costo Presupuestado]]+Gifts24[[#This Row],[Costo Presupuestado]]+Gifts[[#This Row],[Costo Presupuestado]]+Gifts2436[[#This Row],[Costo Presupuestado]]+Gifts243648[[#This Row],[Costo Presupuestado]]+Gifts24364860[[#This Row],[Costo Presupuestado]]+Gifts2436486072[[#This Row],[Costo Presupuestado]]+Gifts243648607284[[#This Row],[Costo Presupuestado]]+Gifts24364860728496[[#This Row],[Costo Presupuestado]]+Gifts24364860728496108[[#This Row],[Costo Presupuestado]]+Gifts24364860728496108120[[#This Row],[Costo Presupuestado]]+Gifts24364860728496108120132[[#This Row],[Costo Presupuestado]]</f>
        <v>0</v>
      </c>
      <c r="I32" s="40"/>
      <c r="J32" s="4">
        <f>Gifts24364860728496108120132156[Costo Presupuestado]-Gifts24364860728496108120132156[Costo Real]</f>
        <v>0</v>
      </c>
      <c r="K32" s="19"/>
      <c r="L32" s="19"/>
    </row>
    <row r="33" spans="2:12" x14ac:dyDescent="0.25">
      <c r="B33" s="3" t="s">
        <v>42</v>
      </c>
      <c r="C33" s="40">
        <f>+Transportation15135[[#This Row],[Costo Presupuestado]]+Transportation15[[#This Row],[Costo Presupuestado]]+Transportation[[#This Row],[Costo Presupuestado]]+Transportation1527[[#This Row],[Costo Presupuestado]]+Transportation152739[[#This Row],[Costo Presupuestado]]+Transportation15273951[[#This Row],[Costo Presupuestado]]+Transportation1527395163[[#This Row],[Costo Presupuestado]]+Transportation152739516375[[#This Row],[Costo Presupuestado]]+Transportation15273951637587[[#This Row],[Costo Presupuestado]]+Transportation1527395163758799[[#This Row],[Costo Presupuestado]]+Transportation1527395163758799111[[#This Row],[Costo Presupuestado]]+Transportation1527395163758799111123[[#This Row],[Costo Presupuestado]]</f>
        <v>0</v>
      </c>
      <c r="D33" s="40">
        <f>+Transportation15135[[#This Row],[Costo Real]]+Transportation15[[#This Row],[Costo Real]]+Transportation[[#This Row],[Costo Real]]+Transportation1527[[#This Row],[Costo Real]]+Transportation152739[[#This Row],[Costo Real]]+Transportation15273951[[#This Row],[Costo Real]]+Transportation1527395163[[#This Row],[Costo Real]]+Transportation152739516375[[#This Row],[Costo Real]]+Transportation15273951637587[[#This Row],[Costo Real]]+Transportation1527395163758799[[#This Row],[Costo Real]]+Transportation1527395163758799111[[#This Row],[Costo Real]]+Transportation1527395163758799111123[[#This Row],[Costo Real]]</f>
        <v>0</v>
      </c>
      <c r="E33" s="4">
        <f>Transportation1527395163758799111123147[Costo Presupuestado]-Transportation1527395163758799111123147[Costo Real]</f>
        <v>0</v>
      </c>
      <c r="F33" s="3"/>
      <c r="G33" s="3" t="s">
        <v>51</v>
      </c>
      <c r="H33" s="40">
        <f>+Gifts24144[[#This Row],[Costo Presupuestado]]+Gifts24[[#This Row],[Costo Presupuestado]]+Gifts[[#This Row],[Costo Presupuestado]]+Gifts2436[[#This Row],[Costo Presupuestado]]+Gifts243648[[#This Row],[Costo Presupuestado]]+Gifts24364860[[#This Row],[Costo Presupuestado]]+Gifts2436486072[[#This Row],[Costo Presupuestado]]+Gifts243648607284[[#This Row],[Costo Presupuestado]]+Gifts24364860728496[[#This Row],[Costo Presupuestado]]+Gifts24364860728496108[[#This Row],[Costo Presupuestado]]+Gifts24364860728496108120[[#This Row],[Costo Presupuestado]]+Gifts24364860728496108120132[[#This Row],[Costo Presupuestado]]</f>
        <v>0</v>
      </c>
      <c r="I33" s="40"/>
      <c r="J33" s="4">
        <f>Gifts24364860728496108120132156[Costo Presupuestado]-Gifts24364860728496108120132156[Costo Real]</f>
        <v>0</v>
      </c>
      <c r="K33" s="19"/>
      <c r="L33" s="19"/>
    </row>
    <row r="34" spans="2:12" x14ac:dyDescent="0.25">
      <c r="B34" s="3" t="s">
        <v>38</v>
      </c>
      <c r="C34" s="40">
        <f>+Transportation15135[[#This Row],[Costo Presupuestado]]+Transportation15[[#This Row],[Costo Presupuestado]]+Transportation[[#This Row],[Costo Presupuestado]]+Transportation1527[[#This Row],[Costo Presupuestado]]+Transportation152739[[#This Row],[Costo Presupuestado]]+Transportation15273951[[#This Row],[Costo Presupuestado]]+Transportation1527395163[[#This Row],[Costo Presupuestado]]+Transportation152739516375[[#This Row],[Costo Presupuestado]]+Transportation15273951637587[[#This Row],[Costo Presupuestado]]+Transportation1527395163758799[[#This Row],[Costo Presupuestado]]+Transportation1527395163758799111[[#This Row],[Costo Presupuestado]]+Transportation1527395163758799111123[[#This Row],[Costo Presupuestado]]</f>
        <v>0</v>
      </c>
      <c r="D34" s="40">
        <f>+Transportation15135[[#This Row],[Costo Real]]+Transportation15[[#This Row],[Costo Real]]+Transportation[[#This Row],[Costo Real]]+Transportation1527[[#This Row],[Costo Real]]+Transportation152739[[#This Row],[Costo Real]]+Transportation15273951[[#This Row],[Costo Real]]+Transportation1527395163[[#This Row],[Costo Real]]+Transportation152739516375[[#This Row],[Costo Real]]+Transportation15273951637587[[#This Row],[Costo Real]]+Transportation1527395163758799[[#This Row],[Costo Real]]+Transportation1527395163758799111[[#This Row],[Costo Real]]+Transportation1527395163758799111123[[#This Row],[Costo Real]]</f>
        <v>0</v>
      </c>
      <c r="E34" s="4">
        <f>Transportation1527395163758799111123147[Costo Presupuestado]-Transportation1527395163758799111123147[Costo Real]</f>
        <v>0</v>
      </c>
      <c r="F34" s="3"/>
      <c r="G34" s="34" t="s">
        <v>3</v>
      </c>
      <c r="H34" s="41">
        <f>SUBTOTAL(109,Gifts24364860728496108120132156[Costo Presupuestado])</f>
        <v>0</v>
      </c>
      <c r="I34" s="41">
        <f>SUBTOTAL(109,Gifts24364860728496108120132156[Costo Real])</f>
        <v>0</v>
      </c>
      <c r="J34" s="41">
        <f>SUBTOTAL(109,Gifts24364860728496108120132156[Diferencia])</f>
        <v>0</v>
      </c>
      <c r="K34" s="19"/>
      <c r="L34" s="19"/>
    </row>
    <row r="35" spans="2:12" x14ac:dyDescent="0.25">
      <c r="B35" s="34" t="s">
        <v>3</v>
      </c>
      <c r="C35" s="41">
        <f>SUBTOTAL(109,Transportation1527395163758799111123147[Costo Presupuestado])</f>
        <v>72000</v>
      </c>
      <c r="D35" s="41">
        <f>SUBTOTAL(109,Transportation1527395163758799111123147[Costo Real])</f>
        <v>48000</v>
      </c>
      <c r="E35" s="41">
        <f>SUBTOTAL(109,Transportation1527395163758799111123147[Diferencia])</f>
        <v>24000</v>
      </c>
      <c r="F35" s="3"/>
      <c r="K35" s="19"/>
      <c r="L35" s="19"/>
    </row>
    <row r="36" spans="2:12" ht="25.5" x14ac:dyDescent="0.25">
      <c r="B36" s="37"/>
      <c r="C36" s="37"/>
      <c r="D36" s="37"/>
      <c r="E36" s="37"/>
      <c r="F36" s="3"/>
      <c r="G36" s="32" t="s">
        <v>25</v>
      </c>
      <c r="H36" s="13" t="s">
        <v>18</v>
      </c>
      <c r="I36" s="13" t="s">
        <v>19</v>
      </c>
      <c r="J36" s="13" t="s">
        <v>8</v>
      </c>
      <c r="K36" s="19"/>
      <c r="L36" s="19"/>
    </row>
    <row r="37" spans="2:12" ht="25.5" x14ac:dyDescent="0.25">
      <c r="B37" s="16" t="s">
        <v>27</v>
      </c>
      <c r="C37" s="13" t="s">
        <v>18</v>
      </c>
      <c r="D37" s="13" t="s">
        <v>19</v>
      </c>
      <c r="E37" s="13" t="s">
        <v>8</v>
      </c>
      <c r="F37" s="3"/>
      <c r="G37" s="3" t="s">
        <v>52</v>
      </c>
      <c r="H37" s="40">
        <f>+Pets19139[[#This Row],[Costo Presupuestado]]+Pets19[[#This Row],[Costo Presupuestado]]+Pets[[#This Row],[Costo Presupuestado]]+Pets1931[[#This Row],[Costo Presupuestado]]+Pets193143[[#This Row],[Costo Presupuestado]]+Pets19314355[[#This Row],[Costo Presupuestado]]+Pets1931435567[[#This Row],[Costo Presupuestado]]+Pets193143556779[[#This Row],[Costo Presupuestado]]+Pets19314355677991[[#This Row],[Costo Presupuestado]]+Pets19314355677991103[[#This Row],[Costo Presupuestado]]+Pets19314355677991103115[[#This Row],[Costo Presupuestado]]+Pets19314355677991103115127[[#This Row],[Costo Presupuestado]]</f>
        <v>0</v>
      </c>
      <c r="I37" s="40">
        <f>+Pets19139[[#This Row],[Costo Real]]+Pets19[[#This Row],[Costo Real]]+Pets[[#This Row],[Costo Real]]+Pets1931[[#This Row],[Costo Real]]+Pets193143[[#This Row],[Costo Real]]+Pets19314355[[#This Row],[Costo Real]]+Pets1931435567[[#This Row],[Costo Real]]+Pets193143556779[[#This Row],[Costo Real]]+Pets19314355677991[[#This Row],[Costo Real]]+Pets19314355677991103[[#This Row],[Costo Real]]+Pets19314355677991103115[[#This Row],[Costo Real]]+Pets19314355677991103115127[[#This Row],[Costo Real]]</f>
        <v>0</v>
      </c>
      <c r="J37" s="4">
        <f>Pets19314355677991103115127151[Costo Presupuestado]-Pets19314355677991103115127151[Costo Real]</f>
        <v>0</v>
      </c>
      <c r="K37" s="19"/>
      <c r="L37" s="19"/>
    </row>
    <row r="38" spans="2:12" x14ac:dyDescent="0.25">
      <c r="B38" s="3" t="s">
        <v>45</v>
      </c>
      <c r="C38" s="40">
        <f>+Insurance16136[[#This Row],[Costo Presupuestado]]+Insurance16[[#This Row],[Costo Presupuestado]]+Insurance[[#This Row],[Costo Presupuestado]]+Insurance1628[[#This Row],[Costo Presupuestado]]+Insurance162840[[#This Row],[Costo Presupuestado]]+Insurance16284052[[#This Row],[Costo Presupuestado]]+Insurance1628405264[[#This Row],[Costo Presupuestado]]+Insurance162840526476[[#This Row],[Costo Presupuestado]]+Insurance16284052647688[[#This Row],[Costo Presupuestado]]+Insurance16284052647688100[[#This Row],[Costo Presupuestado]]+Insurance16284052647688100112[[#This Row],[Costo Presupuestado]]+Insurance16284052647688100112124[[#This Row],[Costo Presupuestado]]</f>
        <v>0</v>
      </c>
      <c r="D38" s="40">
        <f>+Insurance16136[[#This Row],[Costo Real]]+Insurance16[[#This Row],[Costo Real]]+Insurance[[#This Row],[Costo Real]]+Insurance1628[[#This Row],[Costo Real]]+Insurance162840[[#This Row],[Costo Real]]+Insurance16284052[[#This Row],[Costo Real]]+Insurance1628405264[[#This Row],[Costo Real]]+Insurance162840526476[[#This Row],[Costo Real]]+Insurance16284052647688[[#This Row],[Costo Real]]+Insurance16284052647688100[[#This Row],[Costo Real]]+Insurance16284052647688100112[[#This Row],[Costo Real]]+Insurance16284052647688100112124[[#This Row],[Costo Real]]</f>
        <v>0</v>
      </c>
      <c r="E38" s="4">
        <f>Insurance16284052647688100112124148[Costo Presupuestado]-Insurance16284052647688100112124148[Costo Real]</f>
        <v>0</v>
      </c>
      <c r="F38" s="3"/>
      <c r="G38" s="3" t="s">
        <v>53</v>
      </c>
      <c r="H38" s="40">
        <f>+Pets19139[[#This Row],[Costo Presupuestado]]+Pets19[[#This Row],[Costo Presupuestado]]+Pets[[#This Row],[Costo Presupuestado]]+Pets1931[[#This Row],[Costo Presupuestado]]+Pets193143[[#This Row],[Costo Presupuestado]]+Pets19314355[[#This Row],[Costo Presupuestado]]+Pets1931435567[[#This Row],[Costo Presupuestado]]+Pets193143556779[[#This Row],[Costo Presupuestado]]+Pets19314355677991[[#This Row],[Costo Presupuestado]]+Pets19314355677991103[[#This Row],[Costo Presupuestado]]+Pets19314355677991103115[[#This Row],[Costo Presupuestado]]+Pets19314355677991103115127[[#This Row],[Costo Presupuestado]]</f>
        <v>0</v>
      </c>
      <c r="I38" s="40">
        <f>+Pets19139[[#This Row],[Costo Real]]+Pets19[[#This Row],[Costo Real]]+Pets[[#This Row],[Costo Real]]+Pets1931[[#This Row],[Costo Real]]+Pets193143[[#This Row],[Costo Real]]+Pets19314355[[#This Row],[Costo Real]]+Pets1931435567[[#This Row],[Costo Real]]+Pets193143556779[[#This Row],[Costo Real]]+Pets19314355677991[[#This Row],[Costo Real]]+Pets19314355677991103[[#This Row],[Costo Real]]+Pets19314355677991103115[[#This Row],[Costo Real]]+Pets19314355677991103115127[[#This Row],[Costo Real]]</f>
        <v>0</v>
      </c>
      <c r="J38" s="4">
        <f>Pets19314355677991103115127151[Costo Presupuestado]-Pets19314355677991103115127151[Costo Real]</f>
        <v>0</v>
      </c>
      <c r="K38" s="19"/>
      <c r="L38" s="19"/>
    </row>
    <row r="39" spans="2:12" x14ac:dyDescent="0.25">
      <c r="B39" s="3" t="s">
        <v>46</v>
      </c>
      <c r="C39" s="40">
        <f>+Insurance16136[[#This Row],[Costo Presupuestado]]+Insurance16[[#This Row],[Costo Presupuestado]]+Insurance[[#This Row],[Costo Presupuestado]]+Insurance1628[[#This Row],[Costo Presupuestado]]+Insurance162840[[#This Row],[Costo Presupuestado]]+Insurance16284052[[#This Row],[Costo Presupuestado]]+Insurance1628405264[[#This Row],[Costo Presupuestado]]+Insurance162840526476[[#This Row],[Costo Presupuestado]]+Insurance16284052647688[[#This Row],[Costo Presupuestado]]+Insurance16284052647688100[[#This Row],[Costo Presupuestado]]+Insurance16284052647688100112[[#This Row],[Costo Presupuestado]]+Insurance16284052647688100112124[[#This Row],[Costo Presupuestado]]</f>
        <v>6000</v>
      </c>
      <c r="D39" s="40">
        <f>+Insurance16136[[#This Row],[Costo Real]]+Insurance16[[#This Row],[Costo Real]]+Insurance[[#This Row],[Costo Real]]+Insurance1628[[#This Row],[Costo Real]]+Insurance162840[[#This Row],[Costo Real]]+Insurance16284052[[#This Row],[Costo Real]]+Insurance1628405264[[#This Row],[Costo Real]]+Insurance162840526476[[#This Row],[Costo Real]]+Insurance16284052647688[[#This Row],[Costo Real]]+Insurance16284052647688100[[#This Row],[Costo Real]]+Insurance16284052647688100112[[#This Row],[Costo Real]]+Insurance16284052647688100112124[[#This Row],[Costo Real]]</f>
        <v>6000</v>
      </c>
      <c r="E39" s="4">
        <f>Insurance16284052647688100112124148[Costo Presupuestado]-Insurance16284052647688100112124148[Costo Real]</f>
        <v>0</v>
      </c>
      <c r="F39" s="3"/>
      <c r="G39" s="3" t="s">
        <v>54</v>
      </c>
      <c r="H39" s="40">
        <f>+Pets19139[[#This Row],[Costo Presupuestado]]+Pets19[[#This Row],[Costo Presupuestado]]+Pets[[#This Row],[Costo Presupuestado]]+Pets1931[[#This Row],[Costo Presupuestado]]+Pets193143[[#This Row],[Costo Presupuestado]]+Pets19314355[[#This Row],[Costo Presupuestado]]+Pets1931435567[[#This Row],[Costo Presupuestado]]+Pets193143556779[[#This Row],[Costo Presupuestado]]+Pets19314355677991[[#This Row],[Costo Presupuestado]]+Pets19314355677991103[[#This Row],[Costo Presupuestado]]+Pets19314355677991103115[[#This Row],[Costo Presupuestado]]+Pets19314355677991103115127[[#This Row],[Costo Presupuestado]]</f>
        <v>0</v>
      </c>
      <c r="I39" s="40">
        <f>+Pets19139[[#This Row],[Costo Real]]+Pets19[[#This Row],[Costo Real]]+Pets[[#This Row],[Costo Real]]+Pets1931[[#This Row],[Costo Real]]+Pets193143[[#This Row],[Costo Real]]+Pets19314355[[#This Row],[Costo Real]]+Pets1931435567[[#This Row],[Costo Real]]+Pets193143556779[[#This Row],[Costo Real]]+Pets19314355677991[[#This Row],[Costo Real]]+Pets19314355677991103[[#This Row],[Costo Real]]+Pets19314355677991103115[[#This Row],[Costo Real]]+Pets19314355677991103115127[[#This Row],[Costo Real]]</f>
        <v>0</v>
      </c>
      <c r="J39" s="4">
        <f>Pets19314355677991103115127151[Costo Presupuestado]-Pets19314355677991103115127151[Costo Real]</f>
        <v>0</v>
      </c>
      <c r="K39" s="19"/>
      <c r="L39" s="19"/>
    </row>
    <row r="40" spans="2:12" x14ac:dyDescent="0.25">
      <c r="B40" s="3" t="s">
        <v>47</v>
      </c>
      <c r="C40" s="40">
        <f>+Insurance16136[[#This Row],[Costo Presupuestado]]+Insurance16[[#This Row],[Costo Presupuestado]]+Insurance[[#This Row],[Costo Presupuestado]]+Insurance1628[[#This Row],[Costo Presupuestado]]+Insurance162840[[#This Row],[Costo Presupuestado]]+Insurance16284052[[#This Row],[Costo Presupuestado]]+Insurance1628405264[[#This Row],[Costo Presupuestado]]+Insurance162840526476[[#This Row],[Costo Presupuestado]]+Insurance16284052647688[[#This Row],[Costo Presupuestado]]+Insurance16284052647688100[[#This Row],[Costo Presupuestado]]+Insurance16284052647688100112[[#This Row],[Costo Presupuestado]]+Insurance16284052647688100112124[[#This Row],[Costo Presupuestado]]</f>
        <v>0</v>
      </c>
      <c r="D40" s="40">
        <f>+Insurance16136[[#This Row],[Costo Real]]+Insurance16[[#This Row],[Costo Real]]+Insurance[[#This Row],[Costo Real]]+Insurance1628[[#This Row],[Costo Real]]+Insurance162840[[#This Row],[Costo Real]]+Insurance16284052[[#This Row],[Costo Real]]+Insurance1628405264[[#This Row],[Costo Real]]+Insurance162840526476[[#This Row],[Costo Real]]+Insurance16284052647688[[#This Row],[Costo Real]]+Insurance16284052647688100[[#This Row],[Costo Real]]+Insurance16284052647688100112[[#This Row],[Costo Real]]+Insurance16284052647688100112124[[#This Row],[Costo Real]]</f>
        <v>0</v>
      </c>
      <c r="E40" s="4">
        <f>Insurance16284052647688100112124148[Costo Presupuestado]-Insurance16284052647688100112124148[Costo Real]</f>
        <v>0</v>
      </c>
      <c r="F40" s="3"/>
      <c r="G40" s="3" t="s">
        <v>55</v>
      </c>
      <c r="H40" s="40">
        <f>+Pets19139[[#This Row],[Costo Presupuestado]]+Pets19[[#This Row],[Costo Presupuestado]]+Pets[[#This Row],[Costo Presupuestado]]+Pets1931[[#This Row],[Costo Presupuestado]]+Pets193143[[#This Row],[Costo Presupuestado]]+Pets19314355[[#This Row],[Costo Presupuestado]]+Pets1931435567[[#This Row],[Costo Presupuestado]]+Pets193143556779[[#This Row],[Costo Presupuestado]]+Pets19314355677991[[#This Row],[Costo Presupuestado]]+Pets19314355677991103[[#This Row],[Costo Presupuestado]]+Pets19314355677991103115[[#This Row],[Costo Presupuestado]]+Pets19314355677991103115127[[#This Row],[Costo Presupuestado]]</f>
        <v>0</v>
      </c>
      <c r="I40" s="40">
        <f>+Pets19139[[#This Row],[Costo Real]]+Pets19[[#This Row],[Costo Real]]+Pets[[#This Row],[Costo Real]]+Pets1931[[#This Row],[Costo Real]]+Pets193143[[#This Row],[Costo Real]]+Pets19314355[[#This Row],[Costo Real]]+Pets1931435567[[#This Row],[Costo Real]]+Pets193143556779[[#This Row],[Costo Real]]+Pets19314355677991[[#This Row],[Costo Real]]+Pets19314355677991103[[#This Row],[Costo Real]]+Pets19314355677991103115[[#This Row],[Costo Real]]+Pets19314355677991103115127[[#This Row],[Costo Real]]</f>
        <v>0</v>
      </c>
      <c r="J40" s="4">
        <f>Pets19314355677991103115127151[Costo Presupuestado]-Pets19314355677991103115127151[Costo Real]</f>
        <v>0</v>
      </c>
      <c r="K40" s="19"/>
      <c r="L40" s="19"/>
    </row>
    <row r="41" spans="2:12" x14ac:dyDescent="0.25">
      <c r="B41" s="3" t="s">
        <v>48</v>
      </c>
      <c r="C41" s="40">
        <f>+Insurance16136[[#This Row],[Costo Presupuestado]]+Insurance16[[#This Row],[Costo Presupuestado]]+Insurance[[#This Row],[Costo Presupuestado]]+Insurance1628[[#This Row],[Costo Presupuestado]]+Insurance162840[[#This Row],[Costo Presupuestado]]+Insurance16284052[[#This Row],[Costo Presupuestado]]+Insurance1628405264[[#This Row],[Costo Presupuestado]]+Insurance162840526476[[#This Row],[Costo Presupuestado]]+Insurance16284052647688[[#This Row],[Costo Presupuestado]]+Insurance16284052647688100[[#This Row],[Costo Presupuestado]]+Insurance16284052647688100112[[#This Row],[Costo Presupuestado]]+Insurance16284052647688100112124[[#This Row],[Costo Presupuestado]]</f>
        <v>0</v>
      </c>
      <c r="D41" s="40">
        <f>+Insurance16136[[#This Row],[Costo Real]]+Insurance16[[#This Row],[Costo Real]]+Insurance[[#This Row],[Costo Real]]+Insurance1628[[#This Row],[Costo Real]]+Insurance162840[[#This Row],[Costo Real]]+Insurance16284052[[#This Row],[Costo Real]]+Insurance1628405264[[#This Row],[Costo Real]]+Insurance162840526476[[#This Row],[Costo Real]]+Insurance16284052647688[[#This Row],[Costo Real]]+Insurance16284052647688100[[#This Row],[Costo Real]]+Insurance16284052647688100112[[#This Row],[Costo Real]]+Insurance16284052647688100112124[[#This Row],[Costo Real]]</f>
        <v>0</v>
      </c>
      <c r="E41" s="4">
        <f>Insurance16284052647688100112124148[Costo Presupuestado]-Insurance16284052647688100112124148[Costo Real]</f>
        <v>0</v>
      </c>
      <c r="F41" s="3"/>
      <c r="G41" s="3" t="s">
        <v>56</v>
      </c>
      <c r="H41" s="40">
        <f>+Pets19139[[#This Row],[Costo Presupuestado]]+Pets19[[#This Row],[Costo Presupuestado]]+Pets[[#This Row],[Costo Presupuestado]]+Pets1931[[#This Row],[Costo Presupuestado]]+Pets193143[[#This Row],[Costo Presupuestado]]+Pets19314355[[#This Row],[Costo Presupuestado]]+Pets1931435567[[#This Row],[Costo Presupuestado]]+Pets193143556779[[#This Row],[Costo Presupuestado]]+Pets19314355677991[[#This Row],[Costo Presupuestado]]+Pets19314355677991103[[#This Row],[Costo Presupuestado]]+Pets19314355677991103115[[#This Row],[Costo Presupuestado]]+Pets19314355677991103115127[[#This Row],[Costo Presupuestado]]</f>
        <v>0</v>
      </c>
      <c r="I41" s="40">
        <f>+Pets19139[[#This Row],[Costo Real]]+Pets19[[#This Row],[Costo Real]]+Pets[[#This Row],[Costo Real]]+Pets1931[[#This Row],[Costo Real]]+Pets193143[[#This Row],[Costo Real]]+Pets19314355[[#This Row],[Costo Real]]+Pets1931435567[[#This Row],[Costo Real]]+Pets193143556779[[#This Row],[Costo Real]]+Pets19314355677991[[#This Row],[Costo Real]]+Pets19314355677991103[[#This Row],[Costo Real]]+Pets19314355677991103115[[#This Row],[Costo Real]]+Pets19314355677991103115127[[#This Row],[Costo Real]]</f>
        <v>0</v>
      </c>
      <c r="J41" s="4">
        <f>Pets19314355677991103115127151[Costo Presupuestado]-Pets19314355677991103115127151[Costo Real]</f>
        <v>0</v>
      </c>
      <c r="K41" s="19"/>
      <c r="L41" s="19"/>
    </row>
    <row r="42" spans="2:12" x14ac:dyDescent="0.25">
      <c r="B42" s="34" t="s">
        <v>3</v>
      </c>
      <c r="C42" s="41">
        <f>SUBTOTAL(109,Insurance16284052647688100112124148[Costo Presupuestado])</f>
        <v>6000</v>
      </c>
      <c r="D42" s="41">
        <f>SUBTOTAL(109,Insurance16284052647688100112124148[Costo Real])</f>
        <v>6000</v>
      </c>
      <c r="E42" s="41">
        <f>SUBTOTAL(109,Insurance16284052647688100112124148[Diferencia])</f>
        <v>0</v>
      </c>
      <c r="F42" s="3"/>
      <c r="G42" s="34" t="s">
        <v>3</v>
      </c>
      <c r="H42" s="49">
        <f>SUBTOTAL(109,Pets19314355677991103115127151[Costo Presupuestado])</f>
        <v>0</v>
      </c>
      <c r="I42" s="49">
        <f>SUBTOTAL(109,Pets19314355677991103115127151[Costo Real])</f>
        <v>0</v>
      </c>
      <c r="J42" s="49">
        <f>SUBTOTAL(109,Pets19314355677991103115127151[Diferencia])</f>
        <v>0</v>
      </c>
      <c r="K42" s="19"/>
      <c r="L42" s="19"/>
    </row>
    <row r="43" spans="2:12" ht="25.5" customHeight="1" x14ac:dyDescent="0.25">
      <c r="B43" s="37"/>
      <c r="C43" s="37"/>
      <c r="D43" s="37"/>
      <c r="E43" s="37"/>
      <c r="F43" s="3"/>
      <c r="K43" s="19"/>
      <c r="L43" s="19"/>
    </row>
    <row r="44" spans="2:12" ht="25.5" x14ac:dyDescent="0.25">
      <c r="B44" s="16" t="s">
        <v>26</v>
      </c>
      <c r="C44" s="13" t="s">
        <v>18</v>
      </c>
      <c r="D44" s="13" t="s">
        <v>19</v>
      </c>
      <c r="E44" s="13" t="s">
        <v>8</v>
      </c>
      <c r="F44" s="3"/>
      <c r="G44" s="32" t="s">
        <v>24</v>
      </c>
      <c r="H44" s="13" t="s">
        <v>18</v>
      </c>
      <c r="I44" s="13" t="s">
        <v>19</v>
      </c>
      <c r="J44" s="13" t="s">
        <v>8</v>
      </c>
      <c r="K44" s="19"/>
      <c r="L44" s="19"/>
    </row>
    <row r="45" spans="2:12" x14ac:dyDescent="0.25">
      <c r="B45" s="3" t="s">
        <v>57</v>
      </c>
      <c r="C45" s="40">
        <f>+Food17137[[#This Row],[Costo Presupuestado]]+Food17[[#This Row],[Costo Presupuestado]]+Food[[#This Row],[Costo Presupuestado]]+Food1729[[#This Row],[Costo Presupuestado]]+Food172941[[#This Row],[Costo Presupuestado]]+Food17294153[[#This Row],[Costo Presupuestado]]+Food1729415365[[#This Row],[Costo Presupuestado]]+Food172941536577[[#This Row],[Costo Presupuestado]]+Food17294153657789[[#This Row],[Costo Presupuestado]]+Food17294153657789101[[#This Row],[Costo Presupuestado]]+Food17294153657789101113[[#This Row],[Costo Presupuestado]]+Food17294153657789101113125[[#This Row],[Costo Presupuestado]]</f>
        <v>24000</v>
      </c>
      <c r="D45" s="40">
        <f>+Food17137[[#This Row],[Costo Real]]+Food17[[#This Row],[Costo Real]]+Food[[#This Row],[Costo Real]]+Food1729[[#This Row],[Costo Real]]+Food172941[[#This Row],[Costo Real]]+Food17294153[[#This Row],[Costo Real]]+Food1729415365[[#This Row],[Costo Real]]+Food172941536577[[#This Row],[Costo Real]]+Food17294153657789[[#This Row],[Costo Real]]+Food17294153657789101[[#This Row],[Costo Real]]+Food17294153657789101113[[#This Row],[Costo Real]]+Food17294153657789101113125[[#This Row],[Costo Real]]</f>
        <v>30000</v>
      </c>
      <c r="E45" s="4">
        <f>Food17294153657789101113125149[Costo Presupuestado]-Food17294153657789101113125149[Costo Real]</f>
        <v>-6000</v>
      </c>
      <c r="F45" s="3"/>
      <c r="G45" s="3" t="s">
        <v>72</v>
      </c>
      <c r="H45" s="40">
        <f>+PersonalCare20140[[#This Row],[Costo Presupuestado]]+PersonalCare20[[#This Row],[Costo Presupuestado]]+PersonalCare[[#This Row],[Costo Presupuestado]]+PersonalCare2032[[#This Row],[Costo Presupuestado]]+PersonalCare203244[[#This Row],[Costo Presupuestado]]+PersonalCare20324456[[#This Row],[Costo Presupuestado]]+PersonalCare2032445668[[#This Row],[Costo Presupuestado]]+PersonalCare203244566880[[#This Row],[Costo Presupuestado]]+PersonalCare20324456688092[[#This Row],[Costo Presupuestado]]+PersonalCare20324456688092104[[#This Row],[Costo Presupuestado]]+PersonalCare20324456688092104116[[#This Row],[Costo Presupuestado]]+PersonalCare20324456688092104116128[[#This Row],[Costo Presupuestado]]</f>
        <v>0</v>
      </c>
      <c r="I45" s="40">
        <f>+PersonalCare20140[[#This Row],[Costo Real]]+PersonalCare20[[#This Row],[Costo Real]]+PersonalCare[[#This Row],[Costo Real]]+PersonalCare2032[[#This Row],[Costo Real]]+PersonalCare203244[[#This Row],[Costo Real]]+PersonalCare20324456[[#This Row],[Costo Real]]+PersonalCare2032445668[[#This Row],[Costo Real]]+PersonalCare203244566880[[#This Row],[Costo Real]]+PersonalCare20324456688092[[#This Row],[Costo Real]]+PersonalCare20324456688092104[[#This Row],[Costo Real]]+PersonalCare20324456688092104116[[#This Row],[Costo Real]]+PersonalCare20324456688092104116128[[#This Row],[Costo Real]]</f>
        <v>0</v>
      </c>
      <c r="J45" s="4">
        <f>PersonalCare20324456688092104116128152[Costo Presupuestado]-PersonalCare20324456688092104116128152[Costo Real]</f>
        <v>0</v>
      </c>
      <c r="K45" s="19"/>
      <c r="L45" s="19"/>
    </row>
    <row r="46" spans="2:12" x14ac:dyDescent="0.25">
      <c r="B46" s="3" t="s">
        <v>58</v>
      </c>
      <c r="C46" s="40">
        <f>+Food17137[[#This Row],[Costo Presupuestado]]+Food17[[#This Row],[Costo Presupuestado]]+Food[[#This Row],[Costo Presupuestado]]+Food1729[[#This Row],[Costo Presupuestado]]+Food172941[[#This Row],[Costo Presupuestado]]+Food17294153[[#This Row],[Costo Presupuestado]]+Food1729415365[[#This Row],[Costo Presupuestado]]+Food172941536577[[#This Row],[Costo Presupuestado]]+Food17294153657789[[#This Row],[Costo Presupuestado]]+Food17294153657789101[[#This Row],[Costo Presupuestado]]+Food17294153657789101113[[#This Row],[Costo Presupuestado]]+Food17294153657789101113125[[#This Row],[Costo Presupuestado]]</f>
        <v>48000</v>
      </c>
      <c r="D46" s="40">
        <f>+Food17137[[#This Row],[Costo Real]]+Food17[[#This Row],[Costo Real]]+Food[[#This Row],[Costo Real]]+Food1729[[#This Row],[Costo Real]]+Food172941[[#This Row],[Costo Real]]+Food17294153[[#This Row],[Costo Real]]+Food1729415365[[#This Row],[Costo Real]]+Food172941536577[[#This Row],[Costo Real]]+Food17294153657789[[#This Row],[Costo Real]]+Food17294153657789101[[#This Row],[Costo Real]]+Food17294153657789101113[[#This Row],[Costo Real]]+Food17294153657789101113125[[#This Row],[Costo Real]]</f>
        <v>36000</v>
      </c>
      <c r="E46" s="4">
        <f>Food17294153657789101113125149[Costo Presupuestado]-Food17294153657789101113125149[Costo Real]</f>
        <v>12000</v>
      </c>
      <c r="F46" s="3"/>
      <c r="G46" s="3" t="s">
        <v>73</v>
      </c>
      <c r="H46" s="40">
        <f>+PersonalCare20140[[#This Row],[Costo Presupuestado]]+PersonalCare20[[#This Row],[Costo Presupuestado]]+PersonalCare[[#This Row],[Costo Presupuestado]]+PersonalCare2032[[#This Row],[Costo Presupuestado]]+PersonalCare203244[[#This Row],[Costo Presupuestado]]+PersonalCare20324456[[#This Row],[Costo Presupuestado]]+PersonalCare2032445668[[#This Row],[Costo Presupuestado]]+PersonalCare203244566880[[#This Row],[Costo Presupuestado]]+PersonalCare20324456688092[[#This Row],[Costo Presupuestado]]+PersonalCare20324456688092104[[#This Row],[Costo Presupuestado]]+PersonalCare20324456688092104116[[#This Row],[Costo Presupuestado]]+PersonalCare20324456688092104116128[[#This Row],[Costo Presupuestado]]</f>
        <v>0</v>
      </c>
      <c r="I46" s="40">
        <f>+PersonalCare20140[[#This Row],[Costo Real]]+PersonalCare20[[#This Row],[Costo Real]]+PersonalCare[[#This Row],[Costo Real]]+PersonalCare2032[[#This Row],[Costo Real]]+PersonalCare203244[[#This Row],[Costo Real]]+PersonalCare20324456[[#This Row],[Costo Real]]+PersonalCare2032445668[[#This Row],[Costo Real]]+PersonalCare203244566880[[#This Row],[Costo Real]]+PersonalCare20324456688092[[#This Row],[Costo Real]]+PersonalCare20324456688092104[[#This Row],[Costo Real]]+PersonalCare20324456688092104116[[#This Row],[Costo Real]]+PersonalCare20324456688092104116128[[#This Row],[Costo Real]]</f>
        <v>0</v>
      </c>
      <c r="J46" s="4">
        <f>PersonalCare20324456688092104116128152[Costo Presupuestado]-PersonalCare20324456688092104116128152[Costo Real]</f>
        <v>0</v>
      </c>
      <c r="K46" s="19"/>
      <c r="L46" s="19"/>
    </row>
    <row r="47" spans="2:12" x14ac:dyDescent="0.25">
      <c r="B47" s="3" t="s">
        <v>56</v>
      </c>
      <c r="C47" s="40">
        <f>+Food17137[[#This Row],[Costo Presupuestado]]+Food17[[#This Row],[Costo Presupuestado]]+Food[[#This Row],[Costo Presupuestado]]+Food1729[[#This Row],[Costo Presupuestado]]+Food172941[[#This Row],[Costo Presupuestado]]+Food17294153[[#This Row],[Costo Presupuestado]]+Food1729415365[[#This Row],[Costo Presupuestado]]+Food172941536577[[#This Row],[Costo Presupuestado]]+Food17294153657789[[#This Row],[Costo Presupuestado]]+Food17294153657789101[[#This Row],[Costo Presupuestado]]+Food17294153657789101113[[#This Row],[Costo Presupuestado]]+Food17294153657789101113125[[#This Row],[Costo Presupuestado]]</f>
        <v>0</v>
      </c>
      <c r="D47" s="40">
        <f>+Food17137[[#This Row],[Costo Real]]+Food17[[#This Row],[Costo Real]]+Food[[#This Row],[Costo Real]]+Food1729[[#This Row],[Costo Real]]+Food172941[[#This Row],[Costo Real]]+Food17294153[[#This Row],[Costo Real]]+Food1729415365[[#This Row],[Costo Real]]+Food172941536577[[#This Row],[Costo Real]]+Food17294153657789[[#This Row],[Costo Real]]+Food17294153657789101[[#This Row],[Costo Real]]+Food17294153657789101113[[#This Row],[Costo Real]]+Food17294153657789101113125[[#This Row],[Costo Real]]</f>
        <v>0</v>
      </c>
      <c r="E47" s="4">
        <f>Food17294153657789101113125149[Costo Presupuestado]-Food17294153657789101113125149[Costo Real]</f>
        <v>0</v>
      </c>
      <c r="F47" s="3"/>
      <c r="G47" s="3" t="s">
        <v>74</v>
      </c>
      <c r="H47" s="40">
        <f>+PersonalCare20140[[#This Row],[Costo Presupuestado]]+PersonalCare20[[#This Row],[Costo Presupuestado]]+PersonalCare[[#This Row],[Costo Presupuestado]]+PersonalCare2032[[#This Row],[Costo Presupuestado]]+PersonalCare203244[[#This Row],[Costo Presupuestado]]+PersonalCare20324456[[#This Row],[Costo Presupuestado]]+PersonalCare2032445668[[#This Row],[Costo Presupuestado]]+PersonalCare203244566880[[#This Row],[Costo Presupuestado]]+PersonalCare20324456688092[[#This Row],[Costo Presupuestado]]+PersonalCare20324456688092104[[#This Row],[Costo Presupuestado]]+PersonalCare20324456688092104116[[#This Row],[Costo Presupuestado]]+PersonalCare20324456688092104116128[[#This Row],[Costo Presupuestado]]</f>
        <v>12000</v>
      </c>
      <c r="I47" s="40">
        <f>+PersonalCare20140[[#This Row],[Costo Real]]+PersonalCare20[[#This Row],[Costo Real]]+PersonalCare[[#This Row],[Costo Real]]+PersonalCare2032[[#This Row],[Costo Real]]+PersonalCare203244[[#This Row],[Costo Real]]+PersonalCare20324456[[#This Row],[Costo Real]]+PersonalCare2032445668[[#This Row],[Costo Real]]+PersonalCare203244566880[[#This Row],[Costo Real]]+PersonalCare20324456688092[[#This Row],[Costo Real]]+PersonalCare20324456688092104[[#This Row],[Costo Real]]+PersonalCare20324456688092104116[[#This Row],[Costo Real]]+PersonalCare20324456688092104116128[[#This Row],[Costo Real]]</f>
        <v>7200</v>
      </c>
      <c r="J47" s="4">
        <f>PersonalCare20324456688092104116128152[Costo Presupuestado]-PersonalCare20324456688092104116128152[Costo Real]</f>
        <v>4800</v>
      </c>
      <c r="K47" s="19"/>
      <c r="L47" s="19"/>
    </row>
    <row r="48" spans="2:12" x14ac:dyDescent="0.25">
      <c r="B48" s="34" t="s">
        <v>3</v>
      </c>
      <c r="C48" s="41">
        <f>SUBTOTAL(109,Food17294153657789101113125149[Costo Presupuestado])</f>
        <v>72000</v>
      </c>
      <c r="D48" s="41">
        <f>SUBTOTAL(109,Food17294153657789101113125149[Costo Real])</f>
        <v>66000</v>
      </c>
      <c r="E48" s="41">
        <f>SUBTOTAL(109,Food17294153657789101113125149[Diferencia])</f>
        <v>6000</v>
      </c>
      <c r="F48" s="3"/>
      <c r="G48" s="3" t="s">
        <v>75</v>
      </c>
      <c r="H48" s="40">
        <f>+PersonalCare20140[[#This Row],[Costo Presupuestado]]+PersonalCare20[[#This Row],[Costo Presupuestado]]+PersonalCare[[#This Row],[Costo Presupuestado]]+PersonalCare2032[[#This Row],[Costo Presupuestado]]+PersonalCare203244[[#This Row],[Costo Presupuestado]]+PersonalCare20324456[[#This Row],[Costo Presupuestado]]+PersonalCare2032445668[[#This Row],[Costo Presupuestado]]+PersonalCare203244566880[[#This Row],[Costo Presupuestado]]+PersonalCare20324456688092[[#This Row],[Costo Presupuestado]]+PersonalCare20324456688092104[[#This Row],[Costo Presupuestado]]+PersonalCare20324456688092104116[[#This Row],[Costo Presupuestado]]+PersonalCare20324456688092104116128[[#This Row],[Costo Presupuestado]]</f>
        <v>0</v>
      </c>
      <c r="I48" s="40">
        <f>+PersonalCare20140[[#This Row],[Costo Real]]+PersonalCare20[[#This Row],[Costo Real]]+PersonalCare[[#This Row],[Costo Real]]+PersonalCare2032[[#This Row],[Costo Real]]+PersonalCare203244[[#This Row],[Costo Real]]+PersonalCare20324456[[#This Row],[Costo Real]]+PersonalCare2032445668[[#This Row],[Costo Real]]+PersonalCare203244566880[[#This Row],[Costo Real]]+PersonalCare20324456688092[[#This Row],[Costo Real]]+PersonalCare20324456688092104[[#This Row],[Costo Real]]+PersonalCare20324456688092104116[[#This Row],[Costo Real]]+PersonalCare20324456688092104116128[[#This Row],[Costo Real]]</f>
        <v>0</v>
      </c>
      <c r="J48" s="4">
        <f>PersonalCare20324456688092104116128152[Costo Presupuestado]-PersonalCare20324456688092104116128152[Costo Real]</f>
        <v>0</v>
      </c>
      <c r="K48" s="19"/>
      <c r="L48" s="19"/>
    </row>
    <row r="49" spans="2:12" ht="25.5" customHeight="1" x14ac:dyDescent="0.25">
      <c r="B49" s="37"/>
      <c r="C49" s="37"/>
      <c r="D49" s="37"/>
      <c r="E49" s="37"/>
      <c r="F49" s="3"/>
      <c r="G49" s="3" t="s">
        <v>76</v>
      </c>
      <c r="H49" s="40">
        <f>+PersonalCare20140[[#This Row],[Costo Presupuestado]]+PersonalCare20[[#This Row],[Costo Presupuestado]]+PersonalCare[[#This Row],[Costo Presupuestado]]+PersonalCare2032[[#This Row],[Costo Presupuestado]]+PersonalCare203244[[#This Row],[Costo Presupuestado]]+PersonalCare20324456[[#This Row],[Costo Presupuestado]]+PersonalCare2032445668[[#This Row],[Costo Presupuestado]]+PersonalCare203244566880[[#This Row],[Costo Presupuestado]]+PersonalCare20324456688092[[#This Row],[Costo Presupuestado]]+PersonalCare20324456688092104[[#This Row],[Costo Presupuestado]]+PersonalCare20324456688092104116[[#This Row],[Costo Presupuestado]]+PersonalCare20324456688092104116128[[#This Row],[Costo Presupuestado]]</f>
        <v>0</v>
      </c>
      <c r="I49" s="40">
        <f>+PersonalCare20140[[#This Row],[Costo Real]]+PersonalCare20[[#This Row],[Costo Real]]+PersonalCare[[#This Row],[Costo Real]]+PersonalCare2032[[#This Row],[Costo Real]]+PersonalCare203244[[#This Row],[Costo Real]]+PersonalCare20324456[[#This Row],[Costo Real]]+PersonalCare2032445668[[#This Row],[Costo Real]]+PersonalCare203244566880[[#This Row],[Costo Real]]+PersonalCare20324456688092[[#This Row],[Costo Real]]+PersonalCare20324456688092104[[#This Row],[Costo Real]]+PersonalCare20324456688092104116[[#This Row],[Costo Real]]+PersonalCare20324456688092104116128[[#This Row],[Costo Real]]</f>
        <v>0</v>
      </c>
      <c r="J49" s="4">
        <f>PersonalCare20324456688092104116128152[Costo Presupuestado]-PersonalCare20324456688092104116128152[Costo Real]</f>
        <v>0</v>
      </c>
      <c r="K49" s="19"/>
      <c r="L49" s="19"/>
    </row>
    <row r="50" spans="2:12" ht="25.5" customHeight="1" x14ac:dyDescent="0.25">
      <c r="B50" s="16" t="s">
        <v>23</v>
      </c>
      <c r="C50" s="13" t="s">
        <v>18</v>
      </c>
      <c r="D50" s="13" t="s">
        <v>19</v>
      </c>
      <c r="E50" s="13" t="s">
        <v>8</v>
      </c>
      <c r="F50" s="3"/>
      <c r="G50" s="3" t="s">
        <v>64</v>
      </c>
      <c r="H50" s="40">
        <f>+PersonalCare20140[[#This Row],[Costo Presupuestado]]+PersonalCare20[[#This Row],[Costo Presupuestado]]+PersonalCare[[#This Row],[Costo Presupuestado]]+PersonalCare2032[[#This Row],[Costo Presupuestado]]+PersonalCare203244[[#This Row],[Costo Presupuestado]]+PersonalCare20324456[[#This Row],[Costo Presupuestado]]+PersonalCare2032445668[[#This Row],[Costo Presupuestado]]+PersonalCare203244566880[[#This Row],[Costo Presupuestado]]+PersonalCare20324456688092[[#This Row],[Costo Presupuestado]]+PersonalCare20324456688092104[[#This Row],[Costo Presupuestado]]+PersonalCare20324456688092104116[[#This Row],[Costo Presupuestado]]+PersonalCare20324456688092104116128[[#This Row],[Costo Presupuestado]]</f>
        <v>0</v>
      </c>
      <c r="I50" s="40">
        <f>+PersonalCare20140[[#This Row],[Costo Real]]+PersonalCare20[[#This Row],[Costo Real]]+PersonalCare[[#This Row],[Costo Real]]+PersonalCare2032[[#This Row],[Costo Real]]+PersonalCare203244[[#This Row],[Costo Real]]+PersonalCare20324456[[#This Row],[Costo Real]]+PersonalCare2032445668[[#This Row],[Costo Real]]+PersonalCare203244566880[[#This Row],[Costo Real]]+PersonalCare20324456688092[[#This Row],[Costo Real]]+PersonalCare20324456688092104[[#This Row],[Costo Real]]+PersonalCare20324456688092104116[[#This Row],[Costo Real]]+PersonalCare20324456688092104116128[[#This Row],[Costo Real]]</f>
        <v>0</v>
      </c>
      <c r="J50" s="4">
        <f>PersonalCare20324456688092104116128152[Costo Presupuestado]-PersonalCare20324456688092104116128152[Costo Real]</f>
        <v>0</v>
      </c>
      <c r="K50" s="19"/>
      <c r="L50" s="19"/>
    </row>
    <row r="51" spans="2:12" x14ac:dyDescent="0.25">
      <c r="B51" s="21" t="s">
        <v>65</v>
      </c>
      <c r="C51" s="40">
        <f>+Children18138[[#This Row],[Costo Presupuestado]]+Children18[[#This Row],[Costo Presupuestado]]+Children[[#This Row],[Costo Presupuestado]]+Children1830[[#This Row],[Costo Presupuestado]]+Children183042[[#This Row],[Costo Presupuestado]]+Children18304254[[#This Row],[Costo Presupuestado]]+Children1830425466[[#This Row],[Costo Presupuestado]]+Children183042546678[[#This Row],[Costo Presupuestado]]+Children18304254667890[[#This Row],[Costo Presupuestado]]+Children18304254667890102[[#This Row],[Costo Presupuestado]]+Children18304254667890102114[[#This Row],[Costo Presupuestado]]+Children18304254667890102114126[[#This Row],[Costo Presupuestado]]</f>
        <v>0</v>
      </c>
      <c r="D51" s="40">
        <f>+Children18138[[#This Row],[Costo Real]]+Children18[[#This Row],[Costo Real]]+Children[[#This Row],[Costo Real]]+Children1830[[#This Row],[Costo Real]]+Children183042[[#This Row],[Costo Real]]+Children18304254[[#This Row],[Costo Real]]+Children1830425466[[#This Row],[Costo Real]]+Children183042546678[[#This Row],[Costo Real]]+Children18304254667890[[#This Row],[Costo Real]]+Children18304254667890102[[#This Row],[Costo Real]]+Children18304254667890102114[[#This Row],[Costo Real]]+Children18304254667890102114126[[#This Row],[Costo Real]]</f>
        <v>0</v>
      </c>
      <c r="E51" s="4">
        <f>Children18304254667890102114126150[Costo Presupuestado]-Children18304254667890102114126150[Costo Real]</f>
        <v>0</v>
      </c>
      <c r="F51" s="3"/>
      <c r="G51" s="34" t="s">
        <v>3</v>
      </c>
      <c r="H51" s="49">
        <f>SUBTOTAL(109,PersonalCare20324456688092104116128152[Costo Presupuestado])</f>
        <v>12000</v>
      </c>
      <c r="I51" s="49">
        <f>SUBTOTAL(109,PersonalCare20324456688092104116128152[Costo Real])</f>
        <v>7200</v>
      </c>
      <c r="J51" s="49">
        <f>SUBTOTAL(109,PersonalCare20324456688092104116128152[Diferencia])</f>
        <v>4800</v>
      </c>
      <c r="K51" s="19"/>
      <c r="L51" s="19"/>
    </row>
    <row r="52" spans="2:12" x14ac:dyDescent="0.25">
      <c r="B52" s="21" t="s">
        <v>74</v>
      </c>
      <c r="C52" s="40">
        <f>+Children18138[[#This Row],[Costo Presupuestado]]+Children18[[#This Row],[Costo Presupuestado]]+Children[[#This Row],[Costo Presupuestado]]+Children1830[[#This Row],[Costo Presupuestado]]+Children183042[[#This Row],[Costo Presupuestado]]+Children18304254[[#This Row],[Costo Presupuestado]]+Children1830425466[[#This Row],[Costo Presupuestado]]+Children183042546678[[#This Row],[Costo Presupuestado]]+Children18304254667890[[#This Row],[Costo Presupuestado]]+Children18304254667890102[[#This Row],[Costo Presupuestado]]+Children18304254667890102114[[#This Row],[Costo Presupuestado]]+Children18304254667890102114126[[#This Row],[Costo Presupuestado]]</f>
        <v>0</v>
      </c>
      <c r="D52" s="40">
        <f>+Children18138[[#This Row],[Costo Real]]+Children18[[#This Row],[Costo Real]]+Children[[#This Row],[Costo Real]]+Children1830[[#This Row],[Costo Real]]+Children183042[[#This Row],[Costo Real]]+Children18304254[[#This Row],[Costo Real]]+Children1830425466[[#This Row],[Costo Real]]+Children183042546678[[#This Row],[Costo Real]]+Children18304254667890[[#This Row],[Costo Real]]+Children18304254667890102[[#This Row],[Costo Real]]+Children18304254667890102114[[#This Row],[Costo Real]]+Children18304254667890102114126[[#This Row],[Costo Real]]</f>
        <v>0</v>
      </c>
      <c r="E52" s="4">
        <f>Children18304254667890102114126150[Costo Presupuestado]-Children18304254667890102114126150[Costo Real]</f>
        <v>0</v>
      </c>
      <c r="F52" s="3"/>
      <c r="K52" s="19"/>
      <c r="L52" s="19"/>
    </row>
    <row r="53" spans="2:12" ht="38.25" x14ac:dyDescent="0.25">
      <c r="B53" s="21" t="s">
        <v>59</v>
      </c>
      <c r="C53" s="40">
        <f>+Children18138[[#This Row],[Costo Presupuestado]]+Children18[[#This Row],[Costo Presupuestado]]+Children[[#This Row],[Costo Presupuestado]]+Children1830[[#This Row],[Costo Presupuestado]]+Children183042[[#This Row],[Costo Presupuestado]]+Children18304254[[#This Row],[Costo Presupuestado]]+Children1830425466[[#This Row],[Costo Presupuestado]]+Children183042546678[[#This Row],[Costo Presupuestado]]+Children18304254667890[[#This Row],[Costo Presupuestado]]+Children18304254667890102[[#This Row],[Costo Presupuestado]]+Children18304254667890102114[[#This Row],[Costo Presupuestado]]+Children18304254667890102114126[[#This Row],[Costo Presupuestado]]</f>
        <v>0</v>
      </c>
      <c r="D53" s="40">
        <f>+Children18138[[#This Row],[Costo Real]]+Children18[[#This Row],[Costo Real]]+Children[[#This Row],[Costo Real]]+Children1830[[#This Row],[Costo Real]]+Children183042[[#This Row],[Costo Real]]+Children18304254[[#This Row],[Costo Real]]+Children1830425466[[#This Row],[Costo Real]]+Children183042546678[[#This Row],[Costo Real]]+Children18304254667890[[#This Row],[Costo Real]]+Children18304254667890102[[#This Row],[Costo Real]]+Children18304254667890102114[[#This Row],[Costo Real]]+Children18304254667890102114126[[#This Row],[Costo Real]]</f>
        <v>0</v>
      </c>
      <c r="E53" s="4">
        <f>Children18304254667890102114126150[Costo Presupuestado]-Children18304254667890102114126150[Costo Real]</f>
        <v>0</v>
      </c>
      <c r="F53" s="3"/>
      <c r="G53" s="22" t="s">
        <v>22</v>
      </c>
      <c r="H53" s="13" t="s">
        <v>18</v>
      </c>
      <c r="I53" s="13" t="s">
        <v>19</v>
      </c>
      <c r="J53" s="13" t="s">
        <v>8</v>
      </c>
      <c r="K53" s="19"/>
      <c r="L53" s="19"/>
    </row>
    <row r="54" spans="2:12" ht="25.5" x14ac:dyDescent="0.25">
      <c r="B54" s="21" t="s">
        <v>60</v>
      </c>
      <c r="C54" s="40">
        <f>+Children18138[[#This Row],[Costo Presupuestado]]+Children18[[#This Row],[Costo Presupuestado]]+Children[[#This Row],[Costo Presupuestado]]+Children1830[[#This Row],[Costo Presupuestado]]+Children183042[[#This Row],[Costo Presupuestado]]+Children18304254[[#This Row],[Costo Presupuestado]]+Children1830425466[[#This Row],[Costo Presupuestado]]+Children183042546678[[#This Row],[Costo Presupuestado]]+Children18304254667890[[#This Row],[Costo Presupuestado]]+Children18304254667890102[[#This Row],[Costo Presupuestado]]+Children18304254667890102114[[#This Row],[Costo Presupuestado]]+Children18304254667890102114126[[#This Row],[Costo Presupuestado]]</f>
        <v>0</v>
      </c>
      <c r="D54" s="40">
        <f>+Children18138[[#This Row],[Costo Real]]+Children18[[#This Row],[Costo Real]]+Children[[#This Row],[Costo Real]]+Children1830[[#This Row],[Costo Real]]+Children183042[[#This Row],[Costo Real]]+Children18304254[[#This Row],[Costo Real]]+Children1830425466[[#This Row],[Costo Real]]+Children183042546678[[#This Row],[Costo Real]]+Children18304254667890[[#This Row],[Costo Real]]+Children18304254667890102[[#This Row],[Costo Real]]+Children18304254667890102114[[#This Row],[Costo Real]]+Children18304254667890102114126[[#This Row],[Costo Real]]</f>
        <v>0</v>
      </c>
      <c r="E54" s="4">
        <f>Children18304254667890102114126150[Costo Presupuestado]-Children18304254667890102114126150[Costo Real]</f>
        <v>0</v>
      </c>
      <c r="F54" s="3"/>
      <c r="G54" s="3" t="s">
        <v>5</v>
      </c>
      <c r="H54" s="40">
        <f>+Loans22142[[#This Row],[Costo Presupuestado]]+Loans22[[#This Row],[Costo Presupuestado]]+Loans[[#This Row],[Costo Presupuestado]]+Loans2234[[#This Row],[Costo Presupuestado]]+Loans223446[[#This Row],[Costo Presupuestado]]+Loans22344658[[#This Row],[Costo Presupuestado]]+Loans2234465870[[#This Row],[Costo Presupuestado]]+Loans223446587082[[#This Row],[Costo Presupuestado]]+Loans22344658708294[[#This Row],[Costo Presupuestado]]+Loans22344658708294106[[#This Row],[Costo Presupuestado]]+Loans22344658708294106118[[#This Row],[Costo Presupuestado]]+Loans22344658708294106118130[[#This Row],[Costo Presupuestado]]</f>
        <v>0</v>
      </c>
      <c r="I54" s="40">
        <f>+Loans22142[[#This Row],[Costo Real]]+Loans22[[#This Row],[Costo Real]]+Loans[[#This Row],[Costo Real]]+Loans2234[[#This Row],[Costo Real]]+Loans223446[[#This Row],[Costo Real]]+Loans22344658[[#This Row],[Costo Real]]+Loans2234465870[[#This Row],[Costo Real]]+Loans223446587082[[#This Row],[Costo Real]]+Loans22344658708294[[#This Row],[Costo Real]]+Loans22344658708294106[[#This Row],[Costo Real]]+Loans22344658708294106118[[#This Row],[Costo Real]]+Loans22344658708294106118130[[#This Row],[Costo Real]]</f>
        <v>0</v>
      </c>
      <c r="J54" s="4">
        <f>Loans22344658708294106118130154[Costo Presupuestado]-Loans22344658708294106118130154[Costo Real]</f>
        <v>0</v>
      </c>
      <c r="K54" s="19"/>
      <c r="L54" s="19"/>
    </row>
    <row r="55" spans="2:12" ht="25.5" x14ac:dyDescent="0.25">
      <c r="B55" s="21" t="s">
        <v>4</v>
      </c>
      <c r="C55" s="40">
        <f>+Children18138[[#This Row],[Costo Presupuestado]]+Children18[[#This Row],[Costo Presupuestado]]+Children[[#This Row],[Costo Presupuestado]]+Children1830[[#This Row],[Costo Presupuestado]]+Children183042[[#This Row],[Costo Presupuestado]]+Children18304254[[#This Row],[Costo Presupuestado]]+Children1830425466[[#This Row],[Costo Presupuestado]]+Children183042546678[[#This Row],[Costo Presupuestado]]+Children18304254667890[[#This Row],[Costo Presupuestado]]+Children18304254667890102[[#This Row],[Costo Presupuestado]]+Children18304254667890102114[[#This Row],[Costo Presupuestado]]+Children18304254667890102114126[[#This Row],[Costo Presupuestado]]</f>
        <v>0</v>
      </c>
      <c r="D55" s="40">
        <f>+Children18138[[#This Row],[Costo Real]]+Children18[[#This Row],[Costo Real]]+Children[[#This Row],[Costo Real]]+Children1830[[#This Row],[Costo Real]]+Children183042[[#This Row],[Costo Real]]+Children18304254[[#This Row],[Costo Real]]+Children1830425466[[#This Row],[Costo Real]]+Children183042546678[[#This Row],[Costo Real]]+Children18304254667890[[#This Row],[Costo Real]]+Children18304254667890102[[#This Row],[Costo Real]]+Children18304254667890102114[[#This Row],[Costo Real]]+Children18304254667890102114126[[#This Row],[Costo Real]]</f>
        <v>0</v>
      </c>
      <c r="E55" s="4">
        <f>Children18304254667890102114126150[Costo Presupuestado]-Children18304254667890102114126150[Costo Real]</f>
        <v>0</v>
      </c>
      <c r="F55" s="3"/>
      <c r="G55" s="3" t="s">
        <v>68</v>
      </c>
      <c r="H55" s="40">
        <f>+Loans22142[[#This Row],[Costo Presupuestado]]+Loans22[[#This Row],[Costo Presupuestado]]+Loans[[#This Row],[Costo Presupuestado]]+Loans2234[[#This Row],[Costo Presupuestado]]+Loans223446[[#This Row],[Costo Presupuestado]]+Loans22344658[[#This Row],[Costo Presupuestado]]+Loans2234465870[[#This Row],[Costo Presupuestado]]+Loans223446587082[[#This Row],[Costo Presupuestado]]+Loans22344658708294[[#This Row],[Costo Presupuestado]]+Loans22344658708294106[[#This Row],[Costo Presupuestado]]+Loans22344658708294106118[[#This Row],[Costo Presupuestado]]+Loans22344658708294106118130[[#This Row],[Costo Presupuestado]]</f>
        <v>0</v>
      </c>
      <c r="I55" s="40">
        <f>+Loans22142[[#This Row],[Costo Real]]+Loans22[[#This Row],[Costo Real]]+Loans[[#This Row],[Costo Real]]+Loans2234[[#This Row],[Costo Real]]+Loans223446[[#This Row],[Costo Real]]+Loans22344658[[#This Row],[Costo Real]]+Loans2234465870[[#This Row],[Costo Real]]+Loans223446587082[[#This Row],[Costo Real]]+Loans22344658708294[[#This Row],[Costo Real]]+Loans22344658708294106[[#This Row],[Costo Real]]+Loans22344658708294106118[[#This Row],[Costo Real]]+Loans22344658708294106118130[[#This Row],[Costo Real]]</f>
        <v>0</v>
      </c>
      <c r="J55" s="4">
        <f>Loans22344658708294106118130154[Costo Presupuestado]-Loans22344658708294106118130154[Costo Real]</f>
        <v>0</v>
      </c>
      <c r="K55" s="19"/>
      <c r="L55" s="19"/>
    </row>
    <row r="56" spans="2:12" ht="25.5" x14ac:dyDescent="0.25">
      <c r="B56" s="21" t="s">
        <v>61</v>
      </c>
      <c r="C56" s="40">
        <f>+Children18138[[#This Row],[Costo Presupuestado]]+Children18[[#This Row],[Costo Presupuestado]]+Children[[#This Row],[Costo Presupuestado]]+Children1830[[#This Row],[Costo Presupuestado]]+Children183042[[#This Row],[Costo Presupuestado]]+Children18304254[[#This Row],[Costo Presupuestado]]+Children1830425466[[#This Row],[Costo Presupuestado]]+Children183042546678[[#This Row],[Costo Presupuestado]]+Children18304254667890[[#This Row],[Costo Presupuestado]]+Children18304254667890102[[#This Row],[Costo Presupuestado]]+Children18304254667890102114[[#This Row],[Costo Presupuestado]]+Children18304254667890102114126[[#This Row],[Costo Presupuestado]]</f>
        <v>0</v>
      </c>
      <c r="D56" s="40">
        <f>+Children18138[[#This Row],[Costo Real]]+Children18[[#This Row],[Costo Real]]+Children[[#This Row],[Costo Real]]+Children1830[[#This Row],[Costo Real]]+Children183042[[#This Row],[Costo Real]]+Children18304254[[#This Row],[Costo Real]]+Children1830425466[[#This Row],[Costo Real]]+Children183042546678[[#This Row],[Costo Real]]+Children18304254667890[[#This Row],[Costo Real]]+Children18304254667890102[[#This Row],[Costo Real]]+Children18304254667890102114[[#This Row],[Costo Real]]+Children18304254667890102114126[[#This Row],[Costo Real]]</f>
        <v>0</v>
      </c>
      <c r="E56" s="4">
        <f>Children18304254667890102114126150[Costo Presupuestado]-Children18304254667890102114126150[Costo Real]</f>
        <v>0</v>
      </c>
      <c r="F56" s="3"/>
      <c r="G56" s="3" t="s">
        <v>69</v>
      </c>
      <c r="H56" s="40">
        <f>+Loans22142[[#This Row],[Costo Presupuestado]]+Loans22[[#This Row],[Costo Presupuestado]]+Loans[[#This Row],[Costo Presupuestado]]+Loans2234[[#This Row],[Costo Presupuestado]]+Loans223446[[#This Row],[Costo Presupuestado]]+Loans22344658[[#This Row],[Costo Presupuestado]]+Loans2234465870[[#This Row],[Costo Presupuestado]]+Loans223446587082[[#This Row],[Costo Presupuestado]]+Loans22344658708294[[#This Row],[Costo Presupuestado]]+Loans22344658708294106[[#This Row],[Costo Presupuestado]]+Loans22344658708294106118[[#This Row],[Costo Presupuestado]]+Loans22344658708294106118130[[#This Row],[Costo Presupuestado]]</f>
        <v>0</v>
      </c>
      <c r="I56" s="40">
        <f>+Loans22142[[#This Row],[Costo Real]]+Loans22[[#This Row],[Costo Real]]+Loans[[#This Row],[Costo Real]]+Loans2234[[#This Row],[Costo Real]]+Loans223446[[#This Row],[Costo Real]]+Loans22344658[[#This Row],[Costo Real]]+Loans2234465870[[#This Row],[Costo Real]]+Loans223446587082[[#This Row],[Costo Real]]+Loans22344658708294[[#This Row],[Costo Real]]+Loans22344658708294106[[#This Row],[Costo Real]]+Loans22344658708294106118[[#This Row],[Costo Real]]+Loans22344658708294106118130[[#This Row],[Costo Real]]</f>
        <v>0</v>
      </c>
      <c r="J56" s="4">
        <f>Loans22344658708294106118130154[Costo Presupuestado]-Loans22344658708294106118130154[Costo Real]</f>
        <v>0</v>
      </c>
      <c r="K56" s="19"/>
      <c r="L56" s="19"/>
    </row>
    <row r="57" spans="2:12" x14ac:dyDescent="0.25">
      <c r="B57" s="21" t="s">
        <v>62</v>
      </c>
      <c r="C57" s="40">
        <f>+Children18138[[#This Row],[Costo Presupuestado]]+Children18[[#This Row],[Costo Presupuestado]]+Children[[#This Row],[Costo Presupuestado]]+Children1830[[#This Row],[Costo Presupuestado]]+Children183042[[#This Row],[Costo Presupuestado]]+Children18304254[[#This Row],[Costo Presupuestado]]+Children1830425466[[#This Row],[Costo Presupuestado]]+Children183042546678[[#This Row],[Costo Presupuestado]]+Children18304254667890[[#This Row],[Costo Presupuestado]]+Children18304254667890102[[#This Row],[Costo Presupuestado]]+Children18304254667890102114[[#This Row],[Costo Presupuestado]]+Children18304254667890102114126[[#This Row],[Costo Presupuestado]]</f>
        <v>0</v>
      </c>
      <c r="D57" s="40">
        <f>+Children18138[[#This Row],[Costo Real]]+Children18[[#This Row],[Costo Real]]+Children[[#This Row],[Costo Real]]+Children1830[[#This Row],[Costo Real]]+Children183042[[#This Row],[Costo Real]]+Children18304254[[#This Row],[Costo Real]]+Children1830425466[[#This Row],[Costo Real]]+Children183042546678[[#This Row],[Costo Real]]+Children18304254667890[[#This Row],[Costo Real]]+Children18304254667890102[[#This Row],[Costo Real]]+Children18304254667890102114[[#This Row],[Costo Real]]+Children18304254667890102114126[[#This Row],[Costo Real]]</f>
        <v>0</v>
      </c>
      <c r="E57" s="4">
        <f>Children18304254667890102114126150[Costo Presupuestado]-Children18304254667890102114126150[Costo Real]</f>
        <v>0</v>
      </c>
      <c r="F57" s="3"/>
      <c r="G57" s="3" t="s">
        <v>70</v>
      </c>
      <c r="H57" s="40">
        <f>+Loans22142[[#This Row],[Costo Presupuestado]]+Loans22[[#This Row],[Costo Presupuestado]]+Loans[[#This Row],[Costo Presupuestado]]+Loans2234[[#This Row],[Costo Presupuestado]]+Loans223446[[#This Row],[Costo Presupuestado]]+Loans22344658[[#This Row],[Costo Presupuestado]]+Loans2234465870[[#This Row],[Costo Presupuestado]]+Loans223446587082[[#This Row],[Costo Presupuestado]]+Loans22344658708294[[#This Row],[Costo Presupuestado]]+Loans22344658708294106[[#This Row],[Costo Presupuestado]]+Loans22344658708294106118[[#This Row],[Costo Presupuestado]]+Loans22344658708294106118130[[#This Row],[Costo Presupuestado]]</f>
        <v>0</v>
      </c>
      <c r="I57" s="40">
        <f>+Loans22142[[#This Row],[Costo Real]]+Loans22[[#This Row],[Costo Real]]+Loans[[#This Row],[Costo Real]]+Loans2234[[#This Row],[Costo Real]]+Loans223446[[#This Row],[Costo Real]]+Loans22344658[[#This Row],[Costo Real]]+Loans2234465870[[#This Row],[Costo Real]]+Loans223446587082[[#This Row],[Costo Real]]+Loans22344658708294[[#This Row],[Costo Real]]+Loans22344658708294106[[#This Row],[Costo Real]]+Loans22344658708294106118[[#This Row],[Costo Real]]+Loans22344658708294106118130[[#This Row],[Costo Real]]</f>
        <v>0</v>
      </c>
      <c r="J57" s="4">
        <f>Loans22344658708294106118130154[Costo Presupuestado]-Loans22344658708294106118130154[Costo Real]</f>
        <v>0</v>
      </c>
      <c r="K57" s="19"/>
      <c r="L57" s="19"/>
    </row>
    <row r="58" spans="2:12" x14ac:dyDescent="0.25">
      <c r="B58" s="21" t="s">
        <v>63</v>
      </c>
      <c r="C58" s="40">
        <f>+Children18138[[#This Row],[Costo Presupuestado]]+Children18[[#This Row],[Costo Presupuestado]]+Children[[#This Row],[Costo Presupuestado]]+Children1830[[#This Row],[Costo Presupuestado]]+Children183042[[#This Row],[Costo Presupuestado]]+Children18304254[[#This Row],[Costo Presupuestado]]+Children1830425466[[#This Row],[Costo Presupuestado]]+Children183042546678[[#This Row],[Costo Presupuestado]]+Children18304254667890[[#This Row],[Costo Presupuestado]]+Children18304254667890102[[#This Row],[Costo Presupuestado]]+Children18304254667890102114[[#This Row],[Costo Presupuestado]]+Children18304254667890102114126[[#This Row],[Costo Presupuestado]]</f>
        <v>0</v>
      </c>
      <c r="D58" s="40">
        <f>+Children18138[[#This Row],[Costo Real]]+Children18[[#This Row],[Costo Real]]+Children[[#This Row],[Costo Real]]+Children1830[[#This Row],[Costo Real]]+Children183042[[#This Row],[Costo Real]]+Children18304254[[#This Row],[Costo Real]]+Children1830425466[[#This Row],[Costo Real]]+Children183042546678[[#This Row],[Costo Real]]+Children18304254667890[[#This Row],[Costo Real]]+Children18304254667890102[[#This Row],[Costo Real]]+Children18304254667890102114[[#This Row],[Costo Real]]+Children18304254667890102114126[[#This Row],[Costo Real]]</f>
        <v>0</v>
      </c>
      <c r="E58" s="4">
        <f>Children18304254667890102114126150[Costo Presupuestado]-Children18304254667890102114126150[Costo Real]</f>
        <v>0</v>
      </c>
      <c r="F58" s="3"/>
      <c r="G58" s="3" t="s">
        <v>71</v>
      </c>
      <c r="H58" s="40">
        <f>+Loans22142[[#This Row],[Costo Presupuestado]]+Loans22[[#This Row],[Costo Presupuestado]]+Loans[[#This Row],[Costo Presupuestado]]+Loans2234[[#This Row],[Costo Presupuestado]]+Loans223446[[#This Row],[Costo Presupuestado]]+Loans22344658[[#This Row],[Costo Presupuestado]]+Loans2234465870[[#This Row],[Costo Presupuestado]]+Loans223446587082[[#This Row],[Costo Presupuestado]]+Loans22344658708294[[#This Row],[Costo Presupuestado]]+Loans22344658708294106[[#This Row],[Costo Presupuestado]]+Loans22344658708294106118[[#This Row],[Costo Presupuestado]]+Loans22344658708294106118130[[#This Row],[Costo Presupuestado]]</f>
        <v>0</v>
      </c>
      <c r="I58" s="40">
        <f>+Loans22142[[#This Row],[Costo Real]]+Loans22[[#This Row],[Costo Real]]+Loans[[#This Row],[Costo Real]]+Loans2234[[#This Row],[Costo Real]]+Loans223446[[#This Row],[Costo Real]]+Loans22344658[[#This Row],[Costo Real]]+Loans2234465870[[#This Row],[Costo Real]]+Loans223446587082[[#This Row],[Costo Real]]+Loans22344658708294[[#This Row],[Costo Real]]+Loans22344658708294106[[#This Row],[Costo Real]]+Loans22344658708294106118[[#This Row],[Costo Real]]+Loans22344658708294106118130[[#This Row],[Costo Real]]</f>
        <v>0</v>
      </c>
      <c r="J58" s="4">
        <f>Loans22344658708294106118130154[Costo Presupuestado]-Loans22344658708294106118130154[Costo Real]</f>
        <v>0</v>
      </c>
      <c r="K58" s="19"/>
      <c r="L58" s="19"/>
    </row>
    <row r="59" spans="2:12" x14ac:dyDescent="0.25">
      <c r="B59" s="21" t="s">
        <v>64</v>
      </c>
      <c r="C59" s="40">
        <f>+Children18138[[#This Row],[Costo Presupuestado]]+Children18[[#This Row],[Costo Presupuestado]]+Children[[#This Row],[Costo Presupuestado]]+Children1830[[#This Row],[Costo Presupuestado]]+Children183042[[#This Row],[Costo Presupuestado]]+Children18304254[[#This Row],[Costo Presupuestado]]+Children1830425466[[#This Row],[Costo Presupuestado]]+Children183042546678[[#This Row],[Costo Presupuestado]]+Children18304254667890[[#This Row],[Costo Presupuestado]]+Children18304254667890102[[#This Row],[Costo Presupuestado]]+Children18304254667890102114[[#This Row],[Costo Presupuestado]]+Children18304254667890102114126[[#This Row],[Costo Presupuestado]]</f>
        <v>0</v>
      </c>
      <c r="D59" s="40">
        <f>+Children18138[[#This Row],[Costo Real]]+Children18[[#This Row],[Costo Real]]+Children[[#This Row],[Costo Real]]+Children1830[[#This Row],[Costo Real]]+Children183042[[#This Row],[Costo Real]]+Children18304254[[#This Row],[Costo Real]]+Children1830425466[[#This Row],[Costo Real]]+Children183042546678[[#This Row],[Costo Real]]+Children18304254667890[[#This Row],[Costo Real]]+Children18304254667890102[[#This Row],[Costo Real]]+Children18304254667890102114[[#This Row],[Costo Real]]+Children18304254667890102114126[[#This Row],[Costo Real]]</f>
        <v>0</v>
      </c>
      <c r="E59" s="4">
        <f>Children18304254667890102114126150[Costo Presupuestado]-Children18304254667890102114126150[Costo Real]</f>
        <v>0</v>
      </c>
      <c r="F59" s="3"/>
      <c r="G59" s="3" t="s">
        <v>64</v>
      </c>
      <c r="H59" s="40">
        <f>+Loans22142[[#This Row],[Costo Presupuestado]]+Loans22[[#This Row],[Costo Presupuestado]]+Loans[[#This Row],[Costo Presupuestado]]+Loans2234[[#This Row],[Costo Presupuestado]]+Loans223446[[#This Row],[Costo Presupuestado]]+Loans22344658[[#This Row],[Costo Presupuestado]]+Loans2234465870[[#This Row],[Costo Presupuestado]]+Loans223446587082[[#This Row],[Costo Presupuestado]]+Loans22344658708294[[#This Row],[Costo Presupuestado]]+Loans22344658708294106[[#This Row],[Costo Presupuestado]]+Loans22344658708294106118[[#This Row],[Costo Presupuestado]]+Loans22344658708294106118130[[#This Row],[Costo Presupuestado]]</f>
        <v>0</v>
      </c>
      <c r="I59" s="40">
        <f>+Loans22142[[#This Row],[Costo Real]]+Loans22[[#This Row],[Costo Real]]+Loans[[#This Row],[Costo Real]]+Loans2234[[#This Row],[Costo Real]]+Loans223446[[#This Row],[Costo Real]]+Loans22344658[[#This Row],[Costo Real]]+Loans2234465870[[#This Row],[Costo Real]]+Loans223446587082[[#This Row],[Costo Real]]+Loans22344658708294[[#This Row],[Costo Real]]+Loans22344658708294106[[#This Row],[Costo Real]]+Loans22344658708294106118[[#This Row],[Costo Real]]+Loans22344658708294106118130[[#This Row],[Costo Real]]</f>
        <v>0</v>
      </c>
      <c r="J59" s="4">
        <f>Loans22344658708294106118130154[Costo Presupuestado]-Loans22344658708294106118130154[Costo Real]</f>
        <v>0</v>
      </c>
      <c r="K59" s="19"/>
      <c r="L59" s="19"/>
    </row>
    <row r="60" spans="2:12" x14ac:dyDescent="0.25">
      <c r="B60" s="34" t="s">
        <v>3</v>
      </c>
      <c r="C60" s="41">
        <f>SUBTOTAL(109,Children18304254667890102114126150[Costo Presupuestado])</f>
        <v>0</v>
      </c>
      <c r="D60" s="41">
        <f>SUBTOTAL(109,Children18304254667890102114126150[Costo Real])</f>
        <v>0</v>
      </c>
      <c r="E60" s="41">
        <f>SUBTOTAL(109,Children18304254667890102114126150[Diferencia])</f>
        <v>0</v>
      </c>
      <c r="F60" s="3"/>
      <c r="G60" s="34" t="s">
        <v>3</v>
      </c>
      <c r="H60" s="49">
        <f>SUBTOTAL(109,Loans22344658708294106118130154[Costo Presupuestado])</f>
        <v>0</v>
      </c>
      <c r="I60" s="49">
        <f>SUBTOTAL(109,Loans22344658708294106118130154[Costo Real])</f>
        <v>0</v>
      </c>
      <c r="J60" s="49">
        <f>SUBTOTAL(109,Loans22344658708294106118130154[Diferencia])</f>
        <v>0</v>
      </c>
      <c r="K60" s="19"/>
      <c r="L60" s="19"/>
    </row>
    <row r="61" spans="2:12" x14ac:dyDescent="0.25">
      <c r="F61" s="3"/>
      <c r="K61" s="19"/>
      <c r="L61" s="19"/>
    </row>
    <row r="62" spans="2:12" ht="25.5" x14ac:dyDescent="0.25">
      <c r="F62" s="3"/>
      <c r="G62" s="15" t="s">
        <v>21</v>
      </c>
      <c r="H62" s="13" t="s">
        <v>18</v>
      </c>
      <c r="I62" s="13" t="s">
        <v>19</v>
      </c>
      <c r="J62" s="13" t="s">
        <v>8</v>
      </c>
      <c r="K62" s="19"/>
      <c r="L62" s="19"/>
    </row>
    <row r="63" spans="2:12" x14ac:dyDescent="0.25">
      <c r="F63" s="3"/>
      <c r="G63" s="3" t="s">
        <v>66</v>
      </c>
      <c r="H63" s="40">
        <f>+Legal25145[[#This Row],[Costo Presupuestado]]+Legal25[[#This Row],[Costo Presupuestado]]+Legal[[#This Row],[Costo Presupuestado]]+Legal2537[[#This Row],[Costo Presupuestado]]+Legal253749[[#This Row],[Costo Presupuestado]]+Legal25374961[[#This Row],[Costo Presupuestado]]+Legal2537496173[[#This Row],[Costo Presupuestado]]+Legal253749617385[[#This Row],[Costo Presupuestado]]+Legal25374961738597[[#This Row],[Costo Presupuestado]]+Legal25374961738597109[[#This Row],[Costo Presupuestado]]+Legal25374961738597109121[[#This Row],[Costo Presupuestado]]+Legal25374961738597109121133[[#This Row],[Costo Presupuestado]]</f>
        <v>0</v>
      </c>
      <c r="I63" s="40">
        <f>+Legal25145[[#This Row],[Costo Real]]+Legal25[[#This Row],[Costo Real]]+Legal[[#This Row],[Costo Real]]+Legal2537[[#This Row],[Costo Real]]+Legal253749[[#This Row],[Costo Real]]+Legal25374961[[#This Row],[Costo Real]]+Legal2537496173[[#This Row],[Costo Real]]+Legal253749617385[[#This Row],[Costo Real]]+Legal25374961738597[[#This Row],[Costo Real]]+Legal25374961738597109[[#This Row],[Costo Real]]+Legal25374961738597109121[[#This Row],[Costo Real]]+Legal25374961738597109121133[[#This Row],[Costo Real]]</f>
        <v>0</v>
      </c>
      <c r="J63" s="4">
        <f>Legal25374961738597109121133157[Costo Presupuestado]-Legal25374961738597109121133157[Costo Real]</f>
        <v>0</v>
      </c>
      <c r="K63" s="19"/>
      <c r="L63" s="19"/>
    </row>
    <row r="64" spans="2:12" x14ac:dyDescent="0.25">
      <c r="F64" s="3"/>
      <c r="G64" s="3" t="s">
        <v>67</v>
      </c>
      <c r="H64" s="40">
        <f>+Legal25145[[#This Row],[Costo Presupuestado]]+Legal25[[#This Row],[Costo Presupuestado]]+Legal[[#This Row],[Costo Presupuestado]]+Legal2537[[#This Row],[Costo Presupuestado]]+Legal253749[[#This Row],[Costo Presupuestado]]+Legal25374961[[#This Row],[Costo Presupuestado]]+Legal2537496173[[#This Row],[Costo Presupuestado]]+Legal253749617385[[#This Row],[Costo Presupuestado]]+Legal25374961738597[[#This Row],[Costo Presupuestado]]+Legal25374961738597109[[#This Row],[Costo Presupuestado]]+Legal25374961738597109121[[#This Row],[Costo Presupuestado]]+Legal25374961738597109121133[[#This Row],[Costo Presupuestado]]</f>
        <v>0</v>
      </c>
      <c r="I64" s="40">
        <f>+Legal25145[[#This Row],[Costo Real]]+Legal25[[#This Row],[Costo Real]]+Legal[[#This Row],[Costo Real]]+Legal2537[[#This Row],[Costo Real]]+Legal253749[[#This Row],[Costo Real]]+Legal25374961[[#This Row],[Costo Real]]+Legal2537496173[[#This Row],[Costo Real]]+Legal253749617385[[#This Row],[Costo Real]]+Legal25374961738597[[#This Row],[Costo Real]]+Legal25374961738597109[[#This Row],[Costo Real]]+Legal25374961738597109121[[#This Row],[Costo Real]]+Legal25374961738597109121133[[#This Row],[Costo Real]]</f>
        <v>0</v>
      </c>
      <c r="J64" s="4">
        <f>Legal25374961738597109121133157[Costo Presupuestado]-Legal25374961738597109121133157[Costo Real]</f>
        <v>0</v>
      </c>
      <c r="K64" s="19"/>
      <c r="L64" s="19"/>
    </row>
    <row r="65" spans="6:12" x14ac:dyDescent="0.25">
      <c r="F65" s="3"/>
      <c r="G65" s="3" t="s">
        <v>64</v>
      </c>
      <c r="H65" s="40">
        <f>+Legal25145[[#This Row],[Costo Presupuestado]]+Legal25[[#This Row],[Costo Presupuestado]]+Legal[[#This Row],[Costo Presupuestado]]+Legal2537[[#This Row],[Costo Presupuestado]]+Legal253749[[#This Row],[Costo Presupuestado]]+Legal25374961[[#This Row],[Costo Presupuestado]]+Legal2537496173[[#This Row],[Costo Presupuestado]]+Legal253749617385[[#This Row],[Costo Presupuestado]]+Legal25374961738597[[#This Row],[Costo Presupuestado]]+Legal25374961738597109[[#This Row],[Costo Presupuestado]]+Legal25374961738597109121[[#This Row],[Costo Presupuestado]]+Legal25374961738597109121133[[#This Row],[Costo Presupuestado]]</f>
        <v>0</v>
      </c>
      <c r="I65" s="40">
        <f>+Legal25145[[#This Row],[Costo Real]]+Legal25[[#This Row],[Costo Real]]+Legal[[#This Row],[Costo Real]]+Legal2537[[#This Row],[Costo Real]]+Legal253749[[#This Row],[Costo Real]]+Legal25374961[[#This Row],[Costo Real]]+Legal2537496173[[#This Row],[Costo Real]]+Legal253749617385[[#This Row],[Costo Real]]+Legal25374961738597[[#This Row],[Costo Real]]+Legal25374961738597109[[#This Row],[Costo Real]]+Legal25374961738597109121[[#This Row],[Costo Real]]+Legal25374961738597109121133[[#This Row],[Costo Real]]</f>
        <v>0</v>
      </c>
      <c r="J65" s="4">
        <f>Legal25374961738597109121133157[Costo Presupuestado]-Legal25374961738597109121133157[Costo Real]</f>
        <v>0</v>
      </c>
      <c r="K65" s="19"/>
      <c r="L65" s="19"/>
    </row>
    <row r="66" spans="6:12" x14ac:dyDescent="0.25">
      <c r="F66" s="3"/>
      <c r="G66" s="34" t="s">
        <v>3</v>
      </c>
      <c r="H66" s="41">
        <f>SUBTOTAL(109,Legal25374961738597109121133157[Costo Presupuestado])</f>
        <v>0</v>
      </c>
      <c r="I66" s="41">
        <f>SUBTOTAL(109,Legal25374961738597109121133157[Costo Real])</f>
        <v>0</v>
      </c>
      <c r="J66" s="41">
        <f>SUBTOTAL(109,Legal25374961738597109121133157[Diferencia])</f>
        <v>0</v>
      </c>
      <c r="K66" s="19"/>
      <c r="L66" s="19"/>
    </row>
    <row r="67" spans="6:12" x14ac:dyDescent="0.25">
      <c r="F67" s="3"/>
      <c r="K67" s="19"/>
      <c r="L67" s="19"/>
    </row>
    <row r="68" spans="6:12" x14ac:dyDescent="0.25">
      <c r="F68" s="3"/>
      <c r="K68" s="19"/>
      <c r="L68" s="19"/>
    </row>
    <row r="69" spans="6:12" x14ac:dyDescent="0.25">
      <c r="F69" s="3"/>
      <c r="K69" s="19"/>
      <c r="L69" s="19"/>
    </row>
    <row r="70" spans="6:12" x14ac:dyDescent="0.25">
      <c r="K70" s="19"/>
      <c r="L70" s="19"/>
    </row>
  </sheetData>
  <mergeCells count="6">
    <mergeCell ref="B1:H1"/>
    <mergeCell ref="B3:C3"/>
    <mergeCell ref="G3:H3"/>
    <mergeCell ref="G9:H9"/>
    <mergeCell ref="Q11:R11"/>
    <mergeCell ref="Q17:R17"/>
  </mergeCells>
  <conditionalFormatting sqref="J54:J59 J37:J41 J31:J33 J21:J27 E15:E24 E51:E59 E45:E47 E38:E41 H17 E28:E34 J63:J65 J45:J50 E7:E11">
    <cfRule type="iconSet" priority="1">
      <iconSet iconSet="3Arrows">
        <cfvo type="percentile" val="0"/>
        <cfvo type="num" val="-50"/>
        <cfvo type="num" val="50"/>
      </iconSet>
    </cfRule>
  </conditionalFormatting>
  <conditionalFormatting sqref="E15:E24">
    <cfRule type="iconSet" priority="2">
      <iconSet iconSet="4Arrows">
        <cfvo type="percent" val="0"/>
        <cfvo type="percent" val="25"/>
        <cfvo type="percent" val="50"/>
        <cfvo type="percent" val="75"/>
      </iconSet>
    </cfRule>
  </conditionalFormatting>
  <pageMargins left="0.7" right="0.7" top="0.75" bottom="0.75" header="0.3" footer="0.3"/>
  <drawing r:id="rId1"/>
  <tableParts count="1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0"/>
  <sheetViews>
    <sheetView workbookViewId="0">
      <selection activeCell="F3" sqref="F3"/>
    </sheetView>
  </sheetViews>
  <sheetFormatPr defaultRowHeight="15" x14ac:dyDescent="0.25"/>
  <cols>
    <col min="1" max="1" width="5" style="17" customWidth="1"/>
    <col min="2" max="2" width="17.42578125" style="17" customWidth="1"/>
    <col min="3" max="3" width="17.5703125" style="17" bestFit="1" customWidth="1"/>
    <col min="4" max="4" width="14" style="17" bestFit="1" customWidth="1"/>
    <col min="5" max="5" width="13" style="17" customWidth="1"/>
    <col min="6" max="6" width="5.5703125" style="17" customWidth="1"/>
    <col min="7" max="7" width="15.42578125" style="17" customWidth="1"/>
    <col min="8" max="8" width="14.7109375" style="17" bestFit="1" customWidth="1"/>
    <col min="9" max="9" width="12" style="17" bestFit="1" customWidth="1"/>
    <col min="10" max="10" width="10.85546875" style="17" bestFit="1" customWidth="1"/>
    <col min="11" max="16384" width="9.140625" style="17"/>
  </cols>
  <sheetData>
    <row r="1" spans="1:18" ht="62.25" customHeight="1" x14ac:dyDescent="0.3">
      <c r="A1" s="19"/>
      <c r="B1" s="51"/>
      <c r="C1" s="51"/>
      <c r="D1" s="51"/>
      <c r="E1" s="51"/>
      <c r="F1" s="51"/>
      <c r="G1" s="51"/>
      <c r="H1" s="51"/>
      <c r="I1" s="1"/>
      <c r="J1" s="1"/>
      <c r="K1" s="19"/>
      <c r="L1" s="19"/>
    </row>
    <row r="2" spans="1:18" ht="18.75" customHeight="1" thickBot="1" x14ac:dyDescent="0.3">
      <c r="A2" s="19"/>
      <c r="B2" s="38"/>
      <c r="C2" s="38"/>
      <c r="D2" s="38"/>
      <c r="E2" s="38"/>
      <c r="F2" s="38"/>
      <c r="G2" s="38"/>
      <c r="H2" s="38"/>
      <c r="I2" s="38"/>
      <c r="J2" s="38"/>
      <c r="K2" s="19"/>
      <c r="L2" s="19"/>
    </row>
    <row r="3" spans="1:18" ht="26.25" thickBot="1" x14ac:dyDescent="0.3">
      <c r="B3" s="52" t="s">
        <v>6</v>
      </c>
      <c r="C3" s="53"/>
      <c r="D3" s="23" t="s">
        <v>7</v>
      </c>
      <c r="E3" s="24" t="s">
        <v>8</v>
      </c>
      <c r="F3" s="2"/>
      <c r="G3" s="54" t="s">
        <v>9</v>
      </c>
      <c r="H3" s="55"/>
      <c r="I3" s="2"/>
      <c r="J3" s="2"/>
      <c r="K3" s="19"/>
      <c r="L3" s="19"/>
      <c r="Q3" s="19"/>
      <c r="R3" s="19"/>
    </row>
    <row r="4" spans="1:18" ht="15.75" thickBot="1" x14ac:dyDescent="0.3">
      <c r="B4" s="25"/>
      <c r="C4" s="50">
        <f>Housing11[[#Totals],[Costo Presupuestado]]+Transportation15[[#Totals],[Costo Presupuestado]]+Insurance16[[#Totals],[Costo Presupuestado]]+Food17[[#Totals],[Costo Presupuestado]]+Children18[[#Totals],[Costo Presupuestado]]+Legal25[[#Totals],[Costo Presupuestado]]+Savings23[[#Totals],[Costo Presupuestado]]+Loans22[[#Totals],[Costo Presupuestado]]+Entertainment21[[#Totals],[Costo Presupuestado]]+PersonalCare20[[#Totals],[Costo Presupuestado]]+Pets19[[#Totals],[Costo Presupuestado]]+Gifts24[[#Totals],[Costo Presupuestado]]</f>
        <v>44250</v>
      </c>
      <c r="D4" s="50">
        <f>Housing11[[#Totals],[Costo Real]]+Transportation15[[#Totals],[Costo Real]]+Insurance16[[#Totals],[Costo Real]]+Food17[[#Totals],[Costo Real]]+Children18[[#Totals],[Costo Real]]+Legal25[[#Totals],[Costo Real]]+Savings23[[#Totals],[Costo Real]]+Loans22[[#Totals],[Costo Real]]+Entertainment21[[#Totals],[Costo Real]]+PersonalCare20[[#Totals],[Costo Real]]+Pets19[[#Totals],[Costo Real]]+Gifts24[[#Totals],[Costo Real]]</f>
        <v>39844</v>
      </c>
      <c r="E4" s="45">
        <f>Housing11[[#Totals],[Diferencia]]+Transportation15[[#Totals],[Diferencia]]+Insurance16[[#Totals],[Diferencia]]+Food17[[#Totals],[Diferencia]]+Children18[[#Totals],[Diferencia]]+Legal25[[#Totals],[Diferencia]]+Savings23[[#Totals],[Diferencia]]+Loans22[[#Totals],[Diferencia]]+Entertainment21[[#Totals],[Diferencia]]+PersonalCare20[[#Totals],[Diferencia]]+Pets19[[#Totals],[Diferencia]]+Gifts24[[#Totals],[Diferencia]]</f>
        <v>4406</v>
      </c>
      <c r="F4" s="2"/>
      <c r="G4" s="39" t="s">
        <v>10</v>
      </c>
      <c r="H4" s="48">
        <v>50000</v>
      </c>
      <c r="I4" s="2"/>
      <c r="J4" s="2"/>
      <c r="K4" s="19"/>
      <c r="L4" s="19"/>
      <c r="Q4" s="19"/>
      <c r="R4" s="19"/>
    </row>
    <row r="5" spans="1:18" ht="25.5" x14ac:dyDescent="0.25">
      <c r="F5" s="3"/>
      <c r="G5" s="26" t="s">
        <v>11</v>
      </c>
      <c r="H5" s="46">
        <v>5000</v>
      </c>
      <c r="I5" s="3"/>
      <c r="J5" s="3"/>
      <c r="K5" s="19"/>
      <c r="L5" s="19"/>
      <c r="Q5" s="19"/>
      <c r="R5" s="19"/>
    </row>
    <row r="6" spans="1:18" ht="25.5" x14ac:dyDescent="0.25">
      <c r="B6" s="33" t="s">
        <v>20</v>
      </c>
      <c r="C6" s="13" t="s">
        <v>18</v>
      </c>
      <c r="D6" s="13" t="s">
        <v>19</v>
      </c>
      <c r="E6" s="13" t="s">
        <v>8</v>
      </c>
      <c r="F6" s="3"/>
      <c r="G6" s="26" t="s">
        <v>12</v>
      </c>
      <c r="H6" s="46">
        <v>0</v>
      </c>
      <c r="I6" s="3"/>
      <c r="J6" s="3"/>
      <c r="K6" s="19"/>
      <c r="L6" s="19"/>
      <c r="Q6" s="19"/>
      <c r="R6" s="19"/>
    </row>
    <row r="7" spans="1:18" ht="26.25" thickBot="1" x14ac:dyDescent="0.3">
      <c r="B7" s="3" t="s">
        <v>77</v>
      </c>
      <c r="C7" s="40">
        <v>5000</v>
      </c>
      <c r="D7" s="40">
        <v>5000</v>
      </c>
      <c r="E7" s="40">
        <f>Savings23[Costo Presupuestado]-Savings23[Costo Real]</f>
        <v>0</v>
      </c>
      <c r="F7" s="3"/>
      <c r="G7" s="27" t="s">
        <v>13</v>
      </c>
      <c r="H7" s="47">
        <f>SUM(H4:H6)</f>
        <v>55000</v>
      </c>
      <c r="I7" s="3"/>
      <c r="J7" s="3"/>
      <c r="K7" s="19"/>
      <c r="L7" s="19"/>
      <c r="Q7" s="19"/>
      <c r="R7" s="19"/>
    </row>
    <row r="8" spans="1:18" ht="15.75" thickBot="1" x14ac:dyDescent="0.3">
      <c r="B8" s="3" t="s">
        <v>78</v>
      </c>
      <c r="C8" s="40"/>
      <c r="D8" s="40"/>
      <c r="E8" s="40">
        <f>Savings23[Costo Presupuestado]-Savings23[Costo Real]</f>
        <v>0</v>
      </c>
      <c r="F8" s="3"/>
      <c r="G8" s="5"/>
      <c r="H8" s="6"/>
      <c r="I8" s="18"/>
      <c r="J8" s="18"/>
      <c r="K8" s="19"/>
      <c r="L8" s="19"/>
      <c r="Q8" s="19"/>
      <c r="R8" s="19"/>
    </row>
    <row r="9" spans="1:18" ht="25.5" x14ac:dyDescent="0.25">
      <c r="B9" s="3" t="s">
        <v>81</v>
      </c>
      <c r="C9" s="40"/>
      <c r="D9" s="40"/>
      <c r="E9" s="40">
        <f>Savings23[Costo Presupuestado]-Savings23[Costo Real]</f>
        <v>0</v>
      </c>
      <c r="F9" s="3"/>
      <c r="G9" s="56" t="s">
        <v>14</v>
      </c>
      <c r="H9" s="57"/>
      <c r="I9" s="3"/>
      <c r="J9" s="3"/>
      <c r="K9" s="19" t="s">
        <v>0</v>
      </c>
      <c r="L9" s="19"/>
      <c r="Q9" s="19"/>
      <c r="R9" s="19"/>
    </row>
    <row r="10" spans="1:18" x14ac:dyDescent="0.25">
      <c r="B10" s="36" t="s">
        <v>80</v>
      </c>
      <c r="C10" s="42"/>
      <c r="D10" s="42"/>
      <c r="E10" s="40">
        <f>Savings23[Costo Presupuestado]-Savings23[Costo Real]</f>
        <v>0</v>
      </c>
      <c r="F10" s="3"/>
      <c r="G10" s="26" t="s">
        <v>10</v>
      </c>
      <c r="H10" s="46">
        <v>48000</v>
      </c>
      <c r="I10" s="3"/>
      <c r="J10" s="3"/>
      <c r="K10" s="19"/>
      <c r="L10" s="19"/>
      <c r="Q10" s="19"/>
      <c r="R10" s="19"/>
    </row>
    <row r="11" spans="1:18" ht="25.5" x14ac:dyDescent="0.25">
      <c r="B11" s="3" t="s">
        <v>79</v>
      </c>
      <c r="C11" s="40"/>
      <c r="D11" s="40"/>
      <c r="E11" s="40">
        <f>Savings23[Costo Presupuestado]-Savings23[Costo Real]</f>
        <v>0</v>
      </c>
      <c r="F11" s="3"/>
      <c r="G11" s="26" t="s">
        <v>11</v>
      </c>
      <c r="H11" s="46">
        <v>4500</v>
      </c>
      <c r="I11" s="3"/>
      <c r="J11" s="3"/>
      <c r="K11" s="19"/>
      <c r="L11" s="19"/>
      <c r="Q11" s="58"/>
      <c r="R11" s="58"/>
    </row>
    <row r="12" spans="1:18" x14ac:dyDescent="0.25">
      <c r="B12" s="34" t="s">
        <v>3</v>
      </c>
      <c r="C12" s="41">
        <f>SUBTOTAL(109,Savings23[Costo Presupuestado])</f>
        <v>5000</v>
      </c>
      <c r="D12" s="41">
        <f>SUBTOTAL(109,Savings23[Costo Real])</f>
        <v>5000</v>
      </c>
      <c r="E12" s="41">
        <f>SUBTOTAL(109,Savings23[Diferencia])</f>
        <v>0</v>
      </c>
      <c r="F12" s="3"/>
      <c r="G12" s="26" t="s">
        <v>12</v>
      </c>
      <c r="H12" s="46">
        <v>0</v>
      </c>
      <c r="I12" s="3"/>
      <c r="J12" s="3"/>
      <c r="K12" s="19"/>
      <c r="L12" s="19"/>
      <c r="Q12" s="7"/>
      <c r="R12" s="8"/>
    </row>
    <row r="13" spans="1:18" ht="26.25" thickBot="1" x14ac:dyDescent="0.3">
      <c r="F13" s="3"/>
      <c r="G13" s="27" t="s">
        <v>13</v>
      </c>
      <c r="H13" s="47">
        <f>SUM(H10:H12)</f>
        <v>52500</v>
      </c>
      <c r="I13" s="3"/>
      <c r="J13" s="3"/>
      <c r="K13" s="19"/>
      <c r="L13" s="19"/>
      <c r="Q13" s="7"/>
      <c r="R13" s="8"/>
    </row>
    <row r="14" spans="1:18" ht="26.25" thickBot="1" x14ac:dyDescent="0.3">
      <c r="B14" s="12" t="s">
        <v>17</v>
      </c>
      <c r="C14" s="13" t="s">
        <v>18</v>
      </c>
      <c r="D14" s="13" t="s">
        <v>19</v>
      </c>
      <c r="E14" s="13" t="s">
        <v>8</v>
      </c>
      <c r="F14" s="3"/>
      <c r="G14" s="2"/>
      <c r="H14" s="2"/>
      <c r="I14" s="3"/>
      <c r="J14" s="3"/>
      <c r="K14" s="19"/>
      <c r="L14" s="19"/>
      <c r="Q14" s="7"/>
      <c r="R14" s="8"/>
    </row>
    <row r="15" spans="1:18" ht="25.5" x14ac:dyDescent="0.25">
      <c r="B15" s="3" t="s">
        <v>36</v>
      </c>
      <c r="C15" s="40">
        <v>16000</v>
      </c>
      <c r="D15" s="40">
        <v>16000</v>
      </c>
      <c r="E15" s="4">
        <f>Housing11[Costo Presupuestado]-Housing11[Costo Real]</f>
        <v>0</v>
      </c>
      <c r="F15" s="3"/>
      <c r="G15" s="29" t="s">
        <v>15</v>
      </c>
      <c r="H15" s="43">
        <f>SUM(H7-C4)</f>
        <v>10750</v>
      </c>
      <c r="I15" s="3"/>
      <c r="J15" s="3"/>
      <c r="K15" s="19"/>
      <c r="L15" s="19"/>
      <c r="Q15" s="7"/>
      <c r="R15" s="8"/>
    </row>
    <row r="16" spans="1:18" ht="25.5" customHeight="1" x14ac:dyDescent="0.25">
      <c r="B16" s="3" t="s">
        <v>37</v>
      </c>
      <c r="C16" s="40">
        <v>0</v>
      </c>
      <c r="D16" s="40">
        <v>0</v>
      </c>
      <c r="E16" s="4">
        <f>Housing11[Costo Presupuestado]-Housing11[Costo Real]</f>
        <v>0</v>
      </c>
      <c r="F16" s="3"/>
      <c r="G16" s="30" t="s">
        <v>16</v>
      </c>
      <c r="H16" s="44">
        <f>SUM(H13-D4)</f>
        <v>12656</v>
      </c>
      <c r="I16" s="3"/>
      <c r="J16" s="3"/>
      <c r="K16" s="19"/>
      <c r="L16" s="19"/>
      <c r="Q16" s="10"/>
      <c r="R16" s="2"/>
    </row>
    <row r="17" spans="2:18" ht="15.75" thickBot="1" x14ac:dyDescent="0.3">
      <c r="B17" s="3" t="s">
        <v>38</v>
      </c>
      <c r="C17" s="40">
        <v>0</v>
      </c>
      <c r="D17" s="40">
        <v>0</v>
      </c>
      <c r="E17" s="4">
        <f>Housing11[Costo Presupuestado]-Housing11[Costo Real]</f>
        <v>0</v>
      </c>
      <c r="F17" s="3"/>
      <c r="G17" s="31" t="s">
        <v>8</v>
      </c>
      <c r="H17" s="45">
        <f>SUM(H16-H15)</f>
        <v>1906</v>
      </c>
      <c r="I17" s="3"/>
      <c r="J17" s="3"/>
      <c r="K17" s="19"/>
      <c r="L17" s="19"/>
      <c r="Q17" s="58"/>
      <c r="R17" s="58"/>
    </row>
    <row r="18" spans="2:18" x14ac:dyDescent="0.25">
      <c r="B18" s="3" t="s">
        <v>31</v>
      </c>
      <c r="C18" s="40">
        <v>200</v>
      </c>
      <c r="D18" s="40">
        <v>200</v>
      </c>
      <c r="E18" s="4">
        <f>Housing11[Costo Presupuestado]-Housing11[Costo Real]</f>
        <v>0</v>
      </c>
      <c r="F18" s="3"/>
      <c r="G18" s="3"/>
      <c r="H18" s="3"/>
      <c r="I18" s="3"/>
      <c r="J18" s="3"/>
      <c r="K18" s="19"/>
      <c r="L18" s="19"/>
      <c r="Q18" s="7"/>
      <c r="R18" s="8"/>
    </row>
    <row r="19" spans="2:18" x14ac:dyDescent="0.25">
      <c r="B19" s="3" t="s">
        <v>32</v>
      </c>
      <c r="C19" s="40">
        <v>100</v>
      </c>
      <c r="D19" s="40">
        <v>100</v>
      </c>
      <c r="E19" s="4">
        <f>Housing11[Costo Presupuestado]-Housing11[Costo Real]</f>
        <v>0</v>
      </c>
      <c r="F19" s="3"/>
      <c r="G19" s="18"/>
      <c r="H19" s="18"/>
      <c r="I19" s="18"/>
      <c r="J19" s="18"/>
      <c r="K19" s="19"/>
      <c r="L19" s="19"/>
      <c r="Q19" s="7"/>
      <c r="R19" s="8"/>
    </row>
    <row r="20" spans="2:18" ht="25.5" x14ac:dyDescent="0.25">
      <c r="B20" s="3" t="s">
        <v>33</v>
      </c>
      <c r="C20" s="40">
        <v>0</v>
      </c>
      <c r="D20" s="40">
        <v>0</v>
      </c>
      <c r="E20" s="4">
        <f>Housing11[Costo Presupuestado]-Housing11[Costo Real]</f>
        <v>0</v>
      </c>
      <c r="F20" s="3"/>
      <c r="G20" s="14" t="s">
        <v>29</v>
      </c>
      <c r="H20" s="13" t="s">
        <v>18</v>
      </c>
      <c r="I20" s="13" t="s">
        <v>19</v>
      </c>
      <c r="J20" s="13" t="s">
        <v>8</v>
      </c>
      <c r="K20" s="19"/>
      <c r="L20" s="19"/>
      <c r="Q20" s="7"/>
      <c r="R20" s="8"/>
    </row>
    <row r="21" spans="2:18" ht="25.5" x14ac:dyDescent="0.25">
      <c r="B21" s="3" t="s">
        <v>1</v>
      </c>
      <c r="C21" s="40">
        <v>1000</v>
      </c>
      <c r="D21" s="40">
        <v>900</v>
      </c>
      <c r="E21" s="4">
        <f>Housing11[Costo Presupuestado]-Housing11[Costo Real]</f>
        <v>100</v>
      </c>
      <c r="F21" s="3"/>
      <c r="G21" s="3" t="s">
        <v>87</v>
      </c>
      <c r="H21" s="40">
        <v>0</v>
      </c>
      <c r="I21" s="40">
        <v>0</v>
      </c>
      <c r="J21" s="4">
        <f>Entertainment21[Costo Presupuestado]-Entertainment21[Costo Real]</f>
        <v>0</v>
      </c>
      <c r="K21" s="19"/>
      <c r="L21" s="19"/>
      <c r="Q21" s="7"/>
      <c r="R21" s="8"/>
    </row>
    <row r="22" spans="2:18" ht="25.5" customHeight="1" x14ac:dyDescent="0.25">
      <c r="B22" s="3" t="s">
        <v>2</v>
      </c>
      <c r="C22" s="40">
        <v>450</v>
      </c>
      <c r="D22" s="40">
        <v>400</v>
      </c>
      <c r="E22" s="4">
        <f>Housing11[Costo Presupuestado]-Housing11[Costo Real]</f>
        <v>50</v>
      </c>
      <c r="F22" s="3"/>
      <c r="G22" s="3" t="s">
        <v>86</v>
      </c>
      <c r="H22" s="40">
        <v>5000</v>
      </c>
      <c r="I22" s="40">
        <v>4000</v>
      </c>
      <c r="J22" s="4">
        <f>Entertainment21[Costo Presupuestado]-Entertainment21[Costo Real]</f>
        <v>1000</v>
      </c>
      <c r="K22" s="19"/>
      <c r="L22" s="19"/>
      <c r="Q22" s="2"/>
      <c r="R22" s="2"/>
    </row>
    <row r="23" spans="2:18" x14ac:dyDescent="0.25">
      <c r="B23" s="3" t="s">
        <v>34</v>
      </c>
      <c r="C23" s="40">
        <v>1800</v>
      </c>
      <c r="D23" s="40">
        <v>1600</v>
      </c>
      <c r="E23" s="9">
        <f>Housing11[Costo Presupuestado]-Housing11[Costo Real]</f>
        <v>200</v>
      </c>
      <c r="F23" s="3"/>
      <c r="G23" s="3" t="s">
        <v>82</v>
      </c>
      <c r="H23" s="40">
        <v>700</v>
      </c>
      <c r="I23" s="40">
        <v>1000</v>
      </c>
      <c r="J23" s="4">
        <f>Entertainment21[Costo Presupuestado]-Entertainment21[Costo Real]</f>
        <v>-300</v>
      </c>
      <c r="K23" s="19"/>
      <c r="L23" s="19"/>
      <c r="Q23" s="20"/>
      <c r="R23" s="11"/>
    </row>
    <row r="24" spans="2:18" x14ac:dyDescent="0.25">
      <c r="B24" s="3" t="s">
        <v>35</v>
      </c>
      <c r="C24" s="40">
        <v>500</v>
      </c>
      <c r="D24" s="40">
        <v>44</v>
      </c>
      <c r="E24" s="4">
        <f>Housing11[Costo Presupuestado]-Housing11[Costo Real]</f>
        <v>456</v>
      </c>
      <c r="F24" s="3"/>
      <c r="G24" s="3" t="s">
        <v>83</v>
      </c>
      <c r="H24" s="40">
        <v>0</v>
      </c>
      <c r="I24" s="40">
        <v>0</v>
      </c>
      <c r="J24" s="4">
        <f>Entertainment21[Costo Presupuestado]-Entertainment21[Costo Real]</f>
        <v>0</v>
      </c>
      <c r="K24" s="19"/>
      <c r="L24" s="19"/>
    </row>
    <row r="25" spans="2:18" ht="25.5" x14ac:dyDescent="0.25">
      <c r="B25" s="21" t="s">
        <v>3</v>
      </c>
      <c r="C25" s="40">
        <f>SUBTOTAL(109,Housing11[Costo Presupuestado])</f>
        <v>20050</v>
      </c>
      <c r="D25" s="40">
        <f>SUBTOTAL(109,Housing11[Costo Real])</f>
        <v>19244</v>
      </c>
      <c r="E25" s="40">
        <f>SUBTOTAL(109,Housing11[Diferencia])</f>
        <v>806</v>
      </c>
      <c r="F25" s="3"/>
      <c r="G25" s="3" t="s">
        <v>84</v>
      </c>
      <c r="H25" s="40">
        <v>0</v>
      </c>
      <c r="I25" s="40">
        <v>0</v>
      </c>
      <c r="J25" s="4">
        <f>Entertainment21[Costo Presupuestado]-Entertainment21[Costo Real]</f>
        <v>0</v>
      </c>
      <c r="K25" s="19"/>
      <c r="L25" s="19"/>
    </row>
    <row r="26" spans="2:18" x14ac:dyDescent="0.25">
      <c r="B26" s="37"/>
      <c r="C26" s="37"/>
      <c r="D26" s="37"/>
      <c r="E26" s="37"/>
      <c r="F26" s="3"/>
      <c r="G26" s="3" t="s">
        <v>85</v>
      </c>
      <c r="H26" s="40">
        <v>0</v>
      </c>
      <c r="I26" s="40">
        <v>0</v>
      </c>
      <c r="J26" s="4">
        <f>Entertainment21[Costo Presupuestado]-Entertainment21[Costo Real]</f>
        <v>0</v>
      </c>
      <c r="K26" s="19"/>
      <c r="L26" s="19"/>
    </row>
    <row r="27" spans="2:18" ht="25.5" x14ac:dyDescent="0.25">
      <c r="B27" s="28" t="s">
        <v>30</v>
      </c>
      <c r="C27" s="13" t="s">
        <v>18</v>
      </c>
      <c r="D27" s="13" t="s">
        <v>19</v>
      </c>
      <c r="E27" s="13" t="s">
        <v>8</v>
      </c>
      <c r="F27" s="3"/>
      <c r="G27" s="3" t="s">
        <v>64</v>
      </c>
      <c r="H27" s="40"/>
      <c r="I27" s="40"/>
      <c r="J27" s="4">
        <f>Entertainment21[Costo Presupuestado]-Entertainment21[Costo Real]</f>
        <v>0</v>
      </c>
      <c r="K27" s="19"/>
      <c r="L27" s="19"/>
    </row>
    <row r="28" spans="2:18" ht="25.5" x14ac:dyDescent="0.25">
      <c r="B28" s="3" t="s">
        <v>43</v>
      </c>
      <c r="C28" s="40">
        <v>0</v>
      </c>
      <c r="D28" s="40">
        <v>0</v>
      </c>
      <c r="E28" s="4">
        <f>Transportation15[Costo Presupuestado]-Transportation15[Costo Real]</f>
        <v>0</v>
      </c>
      <c r="F28" s="3"/>
      <c r="G28" s="34" t="s">
        <v>3</v>
      </c>
      <c r="H28" s="35">
        <f>SUBTOTAL(109,Entertainment21[Costo Presupuestado])</f>
        <v>5700</v>
      </c>
      <c r="I28" s="35">
        <f>SUBTOTAL(109,Entertainment21[Costo Real])</f>
        <v>5000</v>
      </c>
      <c r="J28" s="35">
        <f>SUBTOTAL(109,Entertainment21[Diferencia])</f>
        <v>700</v>
      </c>
      <c r="K28" s="19"/>
      <c r="L28" s="19"/>
    </row>
    <row r="29" spans="2:18" ht="25.5" x14ac:dyDescent="0.25">
      <c r="B29" s="3" t="s">
        <v>44</v>
      </c>
      <c r="C29" s="40">
        <v>0</v>
      </c>
      <c r="D29" s="40">
        <v>0</v>
      </c>
      <c r="E29" s="4">
        <f>Transportation15[Costo Presupuestado]-Transportation15[Costo Real]</f>
        <v>0</v>
      </c>
      <c r="F29" s="3"/>
      <c r="K29" s="19"/>
      <c r="L29" s="19"/>
    </row>
    <row r="30" spans="2:18" ht="25.5" x14ac:dyDescent="0.25">
      <c r="B30" s="3" t="s">
        <v>39</v>
      </c>
      <c r="C30" s="40">
        <v>0</v>
      </c>
      <c r="D30" s="40">
        <v>0</v>
      </c>
      <c r="E30" s="4">
        <f>Transportation15[Costo Presupuestado]-Transportation15[Costo Real]</f>
        <v>0</v>
      </c>
      <c r="F30" s="3"/>
      <c r="G30" s="15" t="s">
        <v>28</v>
      </c>
      <c r="H30" s="13" t="s">
        <v>18</v>
      </c>
      <c r="I30" s="13" t="s">
        <v>19</v>
      </c>
      <c r="J30" s="13" t="s">
        <v>8</v>
      </c>
      <c r="K30" s="19"/>
      <c r="L30" s="19"/>
    </row>
    <row r="31" spans="2:18" x14ac:dyDescent="0.25">
      <c r="B31" s="3" t="s">
        <v>40</v>
      </c>
      <c r="C31" s="40">
        <v>6000</v>
      </c>
      <c r="D31" s="40">
        <v>4000</v>
      </c>
      <c r="E31" s="4">
        <f>Transportation15[Costo Presupuestado]-Transportation15[Costo Real]</f>
        <v>2000</v>
      </c>
      <c r="F31" s="3"/>
      <c r="G31" s="3" t="s">
        <v>49</v>
      </c>
      <c r="H31" s="40"/>
      <c r="I31" s="40">
        <v>0</v>
      </c>
      <c r="J31" s="4">
        <f>Gifts24[Costo Presupuestado]-Gifts24[Costo Real]</f>
        <v>0</v>
      </c>
      <c r="K31" s="19"/>
      <c r="L31" s="19"/>
    </row>
    <row r="32" spans="2:18" x14ac:dyDescent="0.25">
      <c r="B32" s="3" t="s">
        <v>41</v>
      </c>
      <c r="C32" s="40">
        <v>0</v>
      </c>
      <c r="D32" s="40">
        <v>0</v>
      </c>
      <c r="E32" s="4">
        <f>Transportation15[Costo Presupuestado]-Transportation15[Costo Real]</f>
        <v>0</v>
      </c>
      <c r="F32" s="3"/>
      <c r="G32" s="3" t="s">
        <v>50</v>
      </c>
      <c r="H32" s="40"/>
      <c r="I32" s="40"/>
      <c r="J32" s="4">
        <f>Gifts24[Costo Presupuestado]-Gifts24[Costo Real]</f>
        <v>0</v>
      </c>
      <c r="K32" s="19"/>
      <c r="L32" s="19"/>
    </row>
    <row r="33" spans="2:12" x14ac:dyDescent="0.25">
      <c r="B33" s="3" t="s">
        <v>42</v>
      </c>
      <c r="C33" s="40">
        <v>0</v>
      </c>
      <c r="D33" s="40">
        <v>0</v>
      </c>
      <c r="E33" s="4">
        <f>Transportation15[Costo Presupuestado]-Transportation15[Costo Real]</f>
        <v>0</v>
      </c>
      <c r="F33" s="3"/>
      <c r="G33" s="3" t="s">
        <v>51</v>
      </c>
      <c r="H33" s="40"/>
      <c r="I33" s="40"/>
      <c r="J33" s="4">
        <f>Gifts24[Costo Presupuestado]-Gifts24[Costo Real]</f>
        <v>0</v>
      </c>
      <c r="K33" s="19"/>
      <c r="L33" s="19"/>
    </row>
    <row r="34" spans="2:12" x14ac:dyDescent="0.25">
      <c r="B34" s="3" t="s">
        <v>38</v>
      </c>
      <c r="C34" s="40">
        <v>0</v>
      </c>
      <c r="D34" s="40">
        <v>0</v>
      </c>
      <c r="E34" s="4">
        <f>Transportation15[Costo Presupuestado]-Transportation15[Costo Real]</f>
        <v>0</v>
      </c>
      <c r="F34" s="3"/>
      <c r="G34" s="34" t="s">
        <v>3</v>
      </c>
      <c r="H34" s="41">
        <f>SUBTOTAL(109,Gifts24[Costo Presupuestado])</f>
        <v>0</v>
      </c>
      <c r="I34" s="41">
        <f>SUBTOTAL(109,Gifts24[Costo Real])</f>
        <v>0</v>
      </c>
      <c r="J34" s="41">
        <f>SUBTOTAL(109,Gifts24[Diferencia])</f>
        <v>0</v>
      </c>
      <c r="K34" s="19"/>
      <c r="L34" s="19"/>
    </row>
    <row r="35" spans="2:12" x14ac:dyDescent="0.25">
      <c r="B35" s="34" t="s">
        <v>3</v>
      </c>
      <c r="C35" s="41">
        <f>SUBTOTAL(109,Transportation15[Costo Presupuestado])</f>
        <v>6000</v>
      </c>
      <c r="D35" s="41">
        <f>SUBTOTAL(109,Transportation15[Costo Real])</f>
        <v>4000</v>
      </c>
      <c r="E35" s="41">
        <f>SUBTOTAL(109,Transportation15[Diferencia])</f>
        <v>2000</v>
      </c>
      <c r="F35" s="3"/>
      <c r="K35" s="19"/>
      <c r="L35" s="19"/>
    </row>
    <row r="36" spans="2:12" ht="25.5" x14ac:dyDescent="0.25">
      <c r="B36" s="37"/>
      <c r="C36" s="37"/>
      <c r="D36" s="37"/>
      <c r="E36" s="37"/>
      <c r="F36" s="3"/>
      <c r="G36" s="32" t="s">
        <v>25</v>
      </c>
      <c r="H36" s="13" t="s">
        <v>18</v>
      </c>
      <c r="I36" s="13" t="s">
        <v>19</v>
      </c>
      <c r="J36" s="13" t="s">
        <v>8</v>
      </c>
      <c r="K36" s="19"/>
      <c r="L36" s="19"/>
    </row>
    <row r="37" spans="2:12" ht="25.5" x14ac:dyDescent="0.25">
      <c r="B37" s="16" t="s">
        <v>27</v>
      </c>
      <c r="C37" s="13" t="s">
        <v>18</v>
      </c>
      <c r="D37" s="13" t="s">
        <v>19</v>
      </c>
      <c r="E37" s="13" t="s">
        <v>8</v>
      </c>
      <c r="F37" s="3"/>
      <c r="G37" s="3" t="s">
        <v>52</v>
      </c>
      <c r="H37" s="40"/>
      <c r="I37" s="40"/>
      <c r="J37" s="4">
        <f>Pets19[Costo Presupuestado]-Pets19[Costo Real]</f>
        <v>0</v>
      </c>
      <c r="K37" s="19"/>
      <c r="L37" s="19"/>
    </row>
    <row r="38" spans="2:12" x14ac:dyDescent="0.25">
      <c r="B38" s="3" t="s">
        <v>45</v>
      </c>
      <c r="C38" s="40">
        <v>0</v>
      </c>
      <c r="D38" s="40">
        <v>0</v>
      </c>
      <c r="E38" s="4">
        <f>Insurance16[Costo Presupuestado]-Insurance16[Costo Real]</f>
        <v>0</v>
      </c>
      <c r="F38" s="3"/>
      <c r="G38" s="3" t="s">
        <v>53</v>
      </c>
      <c r="H38" s="40"/>
      <c r="I38" s="40"/>
      <c r="J38" s="4">
        <f>Pets19[Costo Presupuestado]-Pets19[Costo Real]</f>
        <v>0</v>
      </c>
      <c r="K38" s="19"/>
      <c r="L38" s="19"/>
    </row>
    <row r="39" spans="2:12" x14ac:dyDescent="0.25">
      <c r="B39" s="3" t="s">
        <v>46</v>
      </c>
      <c r="C39" s="40">
        <v>500</v>
      </c>
      <c r="D39" s="40">
        <v>500</v>
      </c>
      <c r="E39" s="4">
        <f>Insurance16[Costo Presupuestado]-Insurance16[Costo Real]</f>
        <v>0</v>
      </c>
      <c r="F39" s="3"/>
      <c r="G39" s="3" t="s">
        <v>54</v>
      </c>
      <c r="H39" s="40"/>
      <c r="I39" s="40"/>
      <c r="J39" s="4">
        <f>Pets19[Costo Presupuestado]-Pets19[Costo Real]</f>
        <v>0</v>
      </c>
      <c r="K39" s="19"/>
      <c r="L39" s="19"/>
    </row>
    <row r="40" spans="2:12" x14ac:dyDescent="0.25">
      <c r="B40" s="3" t="s">
        <v>47</v>
      </c>
      <c r="C40" s="40">
        <v>0</v>
      </c>
      <c r="D40" s="40">
        <v>0</v>
      </c>
      <c r="E40" s="4">
        <f>Insurance16[Costo Presupuestado]-Insurance16[Costo Real]</f>
        <v>0</v>
      </c>
      <c r="F40" s="3"/>
      <c r="G40" s="3" t="s">
        <v>55</v>
      </c>
      <c r="H40" s="40"/>
      <c r="I40" s="40"/>
      <c r="J40" s="4">
        <f>Pets19[Costo Presupuestado]-Pets19[Costo Real]</f>
        <v>0</v>
      </c>
      <c r="K40" s="19"/>
      <c r="L40" s="19"/>
    </row>
    <row r="41" spans="2:12" x14ac:dyDescent="0.25">
      <c r="B41" s="3" t="s">
        <v>48</v>
      </c>
      <c r="C41" s="40">
        <v>0</v>
      </c>
      <c r="D41" s="40">
        <v>0</v>
      </c>
      <c r="E41" s="4">
        <f>Insurance16[Costo Presupuestado]-Insurance16[Costo Real]</f>
        <v>0</v>
      </c>
      <c r="F41" s="3"/>
      <c r="G41" s="3" t="s">
        <v>56</v>
      </c>
      <c r="H41" s="40"/>
      <c r="I41" s="40"/>
      <c r="J41" s="4">
        <f>Pets19[Costo Presupuestado]-Pets19[Costo Real]</f>
        <v>0</v>
      </c>
      <c r="K41" s="19"/>
      <c r="L41" s="19"/>
    </row>
    <row r="42" spans="2:12" x14ac:dyDescent="0.25">
      <c r="B42" s="34" t="s">
        <v>3</v>
      </c>
      <c r="C42" s="41">
        <f>SUBTOTAL(109,Insurance16[Costo Presupuestado])</f>
        <v>500</v>
      </c>
      <c r="D42" s="41">
        <f>SUBTOTAL(109,Insurance16[Costo Real])</f>
        <v>500</v>
      </c>
      <c r="E42" s="41">
        <f>SUBTOTAL(109,Insurance16[Diferencia])</f>
        <v>0</v>
      </c>
      <c r="F42" s="3"/>
      <c r="G42" s="34" t="s">
        <v>3</v>
      </c>
      <c r="H42" s="49">
        <f>SUBTOTAL(109,Pets19[Costo Presupuestado])</f>
        <v>0</v>
      </c>
      <c r="I42" s="49">
        <f>SUBTOTAL(109,Pets19[Costo Real])</f>
        <v>0</v>
      </c>
      <c r="J42" s="49">
        <f>SUBTOTAL(109,Pets19[Diferencia])</f>
        <v>0</v>
      </c>
      <c r="K42" s="19"/>
      <c r="L42" s="19"/>
    </row>
    <row r="43" spans="2:12" ht="25.5" customHeight="1" x14ac:dyDescent="0.25">
      <c r="B43" s="37"/>
      <c r="C43" s="37"/>
      <c r="D43" s="37"/>
      <c r="E43" s="37"/>
      <c r="F43" s="3"/>
      <c r="K43" s="19"/>
      <c r="L43" s="19"/>
    </row>
    <row r="44" spans="2:12" ht="25.5" x14ac:dyDescent="0.25">
      <c r="B44" s="16" t="s">
        <v>26</v>
      </c>
      <c r="C44" s="13" t="s">
        <v>18</v>
      </c>
      <c r="D44" s="13" t="s">
        <v>19</v>
      </c>
      <c r="E44" s="13" t="s">
        <v>8</v>
      </c>
      <c r="F44" s="3"/>
      <c r="G44" s="32" t="s">
        <v>24</v>
      </c>
      <c r="H44" s="13" t="s">
        <v>18</v>
      </c>
      <c r="I44" s="13" t="s">
        <v>19</v>
      </c>
      <c r="J44" s="13" t="s">
        <v>8</v>
      </c>
      <c r="K44" s="19"/>
      <c r="L44" s="19"/>
    </row>
    <row r="45" spans="2:12" x14ac:dyDescent="0.25">
      <c r="B45" s="3" t="s">
        <v>57</v>
      </c>
      <c r="C45" s="40">
        <v>2000</v>
      </c>
      <c r="D45" s="40">
        <v>2500</v>
      </c>
      <c r="E45" s="4">
        <f>Food17[Costo Presupuestado]-Food17[Costo Real]</f>
        <v>-500</v>
      </c>
      <c r="F45" s="3"/>
      <c r="G45" s="3" t="s">
        <v>72</v>
      </c>
      <c r="H45" s="40"/>
      <c r="I45" s="40"/>
      <c r="J45" s="4">
        <f>PersonalCare20[Costo Presupuestado]-PersonalCare20[Costo Real]</f>
        <v>0</v>
      </c>
      <c r="K45" s="19"/>
      <c r="L45" s="19"/>
    </row>
    <row r="46" spans="2:12" x14ac:dyDescent="0.25">
      <c r="B46" s="3" t="s">
        <v>58</v>
      </c>
      <c r="C46" s="40">
        <v>4000</v>
      </c>
      <c r="D46" s="40">
        <v>3000</v>
      </c>
      <c r="E46" s="4">
        <f>Food17[Costo Presupuestado]-Food17[Costo Real]</f>
        <v>1000</v>
      </c>
      <c r="F46" s="3"/>
      <c r="G46" s="3" t="s">
        <v>73</v>
      </c>
      <c r="H46" s="40"/>
      <c r="I46" s="40"/>
      <c r="J46" s="4">
        <f>PersonalCare20[Costo Presupuestado]-PersonalCare20[Costo Real]</f>
        <v>0</v>
      </c>
      <c r="K46" s="19"/>
      <c r="L46" s="19"/>
    </row>
    <row r="47" spans="2:12" x14ac:dyDescent="0.25">
      <c r="B47" s="3" t="s">
        <v>56</v>
      </c>
      <c r="C47" s="40">
        <v>0</v>
      </c>
      <c r="D47" s="40">
        <v>0</v>
      </c>
      <c r="E47" s="4">
        <f>Food17[Costo Presupuestado]-Food17[Costo Real]</f>
        <v>0</v>
      </c>
      <c r="F47" s="3"/>
      <c r="G47" s="3" t="s">
        <v>74</v>
      </c>
      <c r="H47" s="40">
        <v>1000</v>
      </c>
      <c r="I47" s="40">
        <v>600</v>
      </c>
      <c r="J47" s="4">
        <f>PersonalCare20[Costo Presupuestado]-PersonalCare20[Costo Real]</f>
        <v>400</v>
      </c>
      <c r="K47" s="19"/>
      <c r="L47" s="19"/>
    </row>
    <row r="48" spans="2:12" x14ac:dyDescent="0.25">
      <c r="B48" s="34" t="s">
        <v>3</v>
      </c>
      <c r="C48" s="41">
        <f>SUBTOTAL(109,Food17[Costo Presupuestado])</f>
        <v>6000</v>
      </c>
      <c r="D48" s="41">
        <f>SUBTOTAL(109,Food17[Costo Real])</f>
        <v>5500</v>
      </c>
      <c r="E48" s="41">
        <f>SUBTOTAL(109,Food17[Diferencia])</f>
        <v>500</v>
      </c>
      <c r="F48" s="3"/>
      <c r="G48" s="3" t="s">
        <v>75</v>
      </c>
      <c r="H48" s="40"/>
      <c r="I48" s="40"/>
      <c r="J48" s="4">
        <f>PersonalCare20[Costo Presupuestado]-PersonalCare20[Costo Real]</f>
        <v>0</v>
      </c>
      <c r="K48" s="19"/>
      <c r="L48" s="19"/>
    </row>
    <row r="49" spans="2:12" ht="25.5" customHeight="1" x14ac:dyDescent="0.25">
      <c r="B49" s="37"/>
      <c r="C49" s="37"/>
      <c r="D49" s="37"/>
      <c r="E49" s="37"/>
      <c r="F49" s="3"/>
      <c r="G49" s="3" t="s">
        <v>76</v>
      </c>
      <c r="H49" s="40"/>
      <c r="I49" s="40"/>
      <c r="J49" s="4">
        <f>PersonalCare20[Costo Presupuestado]-PersonalCare20[Costo Real]</f>
        <v>0</v>
      </c>
      <c r="K49" s="19"/>
      <c r="L49" s="19"/>
    </row>
    <row r="50" spans="2:12" ht="25.5" customHeight="1" x14ac:dyDescent="0.25">
      <c r="B50" s="16" t="s">
        <v>23</v>
      </c>
      <c r="C50" s="13" t="s">
        <v>18</v>
      </c>
      <c r="D50" s="13" t="s">
        <v>19</v>
      </c>
      <c r="E50" s="13" t="s">
        <v>8</v>
      </c>
      <c r="F50" s="3"/>
      <c r="G50" s="3" t="s">
        <v>64</v>
      </c>
      <c r="H50" s="40"/>
      <c r="I50" s="40"/>
      <c r="J50" s="4">
        <f>PersonalCare20[Costo Presupuestado]-PersonalCare20[Costo Real]</f>
        <v>0</v>
      </c>
      <c r="K50" s="19"/>
      <c r="L50" s="19"/>
    </row>
    <row r="51" spans="2:12" x14ac:dyDescent="0.25">
      <c r="B51" s="21" t="s">
        <v>65</v>
      </c>
      <c r="C51" s="40">
        <v>0</v>
      </c>
      <c r="D51" s="40">
        <v>0</v>
      </c>
      <c r="E51" s="4">
        <f>Children18[Costo Presupuestado]-Children18[Costo Real]</f>
        <v>0</v>
      </c>
      <c r="F51" s="3"/>
      <c r="G51" s="34" t="s">
        <v>3</v>
      </c>
      <c r="H51" s="49">
        <f>SUBTOTAL(109,PersonalCare20[Costo Presupuestado])</f>
        <v>1000</v>
      </c>
      <c r="I51" s="49">
        <f>SUBTOTAL(109,PersonalCare20[Costo Real])</f>
        <v>600</v>
      </c>
      <c r="J51" s="49">
        <f>SUBTOTAL(109,PersonalCare20[Diferencia])</f>
        <v>400</v>
      </c>
      <c r="K51" s="19"/>
      <c r="L51" s="19"/>
    </row>
    <row r="52" spans="2:12" x14ac:dyDescent="0.25">
      <c r="B52" s="21" t="s">
        <v>74</v>
      </c>
      <c r="C52" s="40">
        <v>0</v>
      </c>
      <c r="D52" s="40">
        <v>0</v>
      </c>
      <c r="E52" s="4">
        <f>Children18[Costo Presupuestado]-Children18[Costo Real]</f>
        <v>0</v>
      </c>
      <c r="F52" s="3"/>
      <c r="K52" s="19"/>
      <c r="L52" s="19"/>
    </row>
    <row r="53" spans="2:12" ht="38.25" x14ac:dyDescent="0.25">
      <c r="B53" s="21" t="s">
        <v>59</v>
      </c>
      <c r="C53" s="40">
        <v>0</v>
      </c>
      <c r="D53" s="40">
        <v>0</v>
      </c>
      <c r="E53" s="4">
        <f>Children18[Costo Presupuestado]-Children18[Costo Real]</f>
        <v>0</v>
      </c>
      <c r="F53" s="3"/>
      <c r="G53" s="22" t="s">
        <v>22</v>
      </c>
      <c r="H53" s="13" t="s">
        <v>18</v>
      </c>
      <c r="I53" s="13" t="s">
        <v>19</v>
      </c>
      <c r="J53" s="13" t="s">
        <v>8</v>
      </c>
      <c r="K53" s="19"/>
      <c r="L53" s="19"/>
    </row>
    <row r="54" spans="2:12" ht="25.5" x14ac:dyDescent="0.25">
      <c r="B54" s="21" t="s">
        <v>60</v>
      </c>
      <c r="C54" s="40">
        <v>0</v>
      </c>
      <c r="D54" s="40">
        <v>0</v>
      </c>
      <c r="E54" s="4">
        <f>Children18[Costo Presupuestado]-Children18[Costo Real]</f>
        <v>0</v>
      </c>
      <c r="F54" s="3"/>
      <c r="G54" s="3" t="s">
        <v>5</v>
      </c>
      <c r="H54" s="40"/>
      <c r="I54" s="40"/>
      <c r="J54" s="4">
        <f>Loans22[Costo Presupuestado]-Loans22[Costo Real]</f>
        <v>0</v>
      </c>
      <c r="K54" s="19"/>
      <c r="L54" s="19"/>
    </row>
    <row r="55" spans="2:12" ht="25.5" x14ac:dyDescent="0.25">
      <c r="B55" s="21" t="s">
        <v>4</v>
      </c>
      <c r="C55" s="40">
        <v>0</v>
      </c>
      <c r="D55" s="40">
        <v>0</v>
      </c>
      <c r="E55" s="4">
        <f>Children18[Costo Presupuestado]-Children18[Costo Real]</f>
        <v>0</v>
      </c>
      <c r="F55" s="3"/>
      <c r="G55" s="3" t="s">
        <v>68</v>
      </c>
      <c r="H55" s="40"/>
      <c r="I55" s="40"/>
      <c r="J55" s="4">
        <f>Loans22[Costo Presupuestado]-Loans22[Costo Real]</f>
        <v>0</v>
      </c>
      <c r="K55" s="19"/>
      <c r="L55" s="19"/>
    </row>
    <row r="56" spans="2:12" ht="25.5" x14ac:dyDescent="0.25">
      <c r="B56" s="21" t="s">
        <v>61</v>
      </c>
      <c r="C56" s="40">
        <v>0</v>
      </c>
      <c r="D56" s="40">
        <v>0</v>
      </c>
      <c r="E56" s="4">
        <f>Children18[Costo Presupuestado]-Children18[Costo Real]</f>
        <v>0</v>
      </c>
      <c r="F56" s="3"/>
      <c r="G56" s="3" t="s">
        <v>69</v>
      </c>
      <c r="H56" s="40"/>
      <c r="I56" s="40"/>
      <c r="J56" s="4">
        <f>Loans22[Costo Presupuestado]-Loans22[Costo Real]</f>
        <v>0</v>
      </c>
      <c r="K56" s="19"/>
      <c r="L56" s="19"/>
    </row>
    <row r="57" spans="2:12" x14ac:dyDescent="0.25">
      <c r="B57" s="21" t="s">
        <v>62</v>
      </c>
      <c r="C57" s="40">
        <v>0</v>
      </c>
      <c r="D57" s="40">
        <v>0</v>
      </c>
      <c r="E57" s="4">
        <f>Children18[Costo Presupuestado]-Children18[Costo Real]</f>
        <v>0</v>
      </c>
      <c r="F57" s="3"/>
      <c r="G57" s="3" t="s">
        <v>70</v>
      </c>
      <c r="H57" s="40"/>
      <c r="I57" s="40"/>
      <c r="J57" s="4">
        <f>Loans22[Costo Presupuestado]-Loans22[Costo Real]</f>
        <v>0</v>
      </c>
      <c r="K57" s="19"/>
      <c r="L57" s="19"/>
    </row>
    <row r="58" spans="2:12" x14ac:dyDescent="0.25">
      <c r="B58" s="21" t="s">
        <v>63</v>
      </c>
      <c r="C58" s="40">
        <v>0</v>
      </c>
      <c r="D58" s="40">
        <v>0</v>
      </c>
      <c r="E58" s="4">
        <f>Children18[Costo Presupuestado]-Children18[Costo Real]</f>
        <v>0</v>
      </c>
      <c r="F58" s="3"/>
      <c r="G58" s="3" t="s">
        <v>71</v>
      </c>
      <c r="H58" s="40"/>
      <c r="I58" s="40"/>
      <c r="J58" s="4">
        <f>Loans22[Costo Presupuestado]-Loans22[Costo Real]</f>
        <v>0</v>
      </c>
      <c r="K58" s="19"/>
      <c r="L58" s="19"/>
    </row>
    <row r="59" spans="2:12" x14ac:dyDescent="0.25">
      <c r="B59" s="21" t="s">
        <v>64</v>
      </c>
      <c r="C59" s="40">
        <v>0</v>
      </c>
      <c r="D59" s="40">
        <v>0</v>
      </c>
      <c r="E59" s="4">
        <f>Children18[Costo Presupuestado]-Children18[Costo Real]</f>
        <v>0</v>
      </c>
      <c r="F59" s="3"/>
      <c r="G59" s="3" t="s">
        <v>64</v>
      </c>
      <c r="H59" s="40"/>
      <c r="I59" s="40"/>
      <c r="J59" s="4">
        <f>Loans22[Costo Presupuestado]-Loans22[Costo Real]</f>
        <v>0</v>
      </c>
      <c r="K59" s="19"/>
      <c r="L59" s="19"/>
    </row>
    <row r="60" spans="2:12" x14ac:dyDescent="0.25">
      <c r="B60" s="34" t="s">
        <v>3</v>
      </c>
      <c r="C60" s="41">
        <f>SUBTOTAL(109,Children18[Costo Presupuestado])</f>
        <v>0</v>
      </c>
      <c r="D60" s="41">
        <f>SUBTOTAL(109,Children18[Costo Real])</f>
        <v>0</v>
      </c>
      <c r="E60" s="41">
        <f>SUBTOTAL(109,Children18[Diferencia])</f>
        <v>0</v>
      </c>
      <c r="F60" s="3"/>
      <c r="G60" s="34" t="s">
        <v>3</v>
      </c>
      <c r="H60" s="49">
        <f>SUBTOTAL(109,Loans22[Costo Presupuestado])</f>
        <v>0</v>
      </c>
      <c r="I60" s="49">
        <f>SUBTOTAL(109,Loans22[Costo Real])</f>
        <v>0</v>
      </c>
      <c r="J60" s="49">
        <f>SUBTOTAL(109,Loans22[Diferencia])</f>
        <v>0</v>
      </c>
      <c r="K60" s="19"/>
      <c r="L60" s="19"/>
    </row>
    <row r="61" spans="2:12" x14ac:dyDescent="0.25">
      <c r="F61" s="3"/>
      <c r="K61" s="19"/>
      <c r="L61" s="19"/>
    </row>
    <row r="62" spans="2:12" ht="25.5" x14ac:dyDescent="0.25">
      <c r="F62" s="3"/>
      <c r="G62" s="15" t="s">
        <v>21</v>
      </c>
      <c r="H62" s="13" t="s">
        <v>18</v>
      </c>
      <c r="I62" s="13" t="s">
        <v>19</v>
      </c>
      <c r="J62" s="13" t="s">
        <v>8</v>
      </c>
      <c r="K62" s="19"/>
      <c r="L62" s="19"/>
    </row>
    <row r="63" spans="2:12" x14ac:dyDescent="0.25">
      <c r="F63" s="3"/>
      <c r="G63" s="3" t="s">
        <v>66</v>
      </c>
      <c r="H63" s="40"/>
      <c r="I63" s="40"/>
      <c r="J63" s="4">
        <f>Legal25[Costo Presupuestado]-Legal25[Costo Real]</f>
        <v>0</v>
      </c>
      <c r="K63" s="19"/>
      <c r="L63" s="19"/>
    </row>
    <row r="64" spans="2:12" x14ac:dyDescent="0.25">
      <c r="F64" s="3"/>
      <c r="G64" s="3" t="s">
        <v>67</v>
      </c>
      <c r="H64" s="40"/>
      <c r="I64" s="40"/>
      <c r="J64" s="4">
        <f>Legal25[Costo Presupuestado]-Legal25[Costo Real]</f>
        <v>0</v>
      </c>
      <c r="K64" s="19"/>
      <c r="L64" s="19"/>
    </row>
    <row r="65" spans="6:12" x14ac:dyDescent="0.25">
      <c r="F65" s="3"/>
      <c r="G65" s="3" t="s">
        <v>64</v>
      </c>
      <c r="H65" s="40"/>
      <c r="I65" s="40"/>
      <c r="J65" s="4">
        <f>Legal25[Costo Presupuestado]-Legal25[Costo Real]</f>
        <v>0</v>
      </c>
      <c r="K65" s="19"/>
      <c r="L65" s="19"/>
    </row>
    <row r="66" spans="6:12" x14ac:dyDescent="0.25">
      <c r="F66" s="3"/>
      <c r="G66" s="34" t="s">
        <v>3</v>
      </c>
      <c r="H66" s="41">
        <f>SUBTOTAL(109,Legal25[Costo Presupuestado])</f>
        <v>0</v>
      </c>
      <c r="I66" s="41">
        <f>SUBTOTAL(109,Legal25[Costo Real])</f>
        <v>0</v>
      </c>
      <c r="J66" s="41">
        <f>SUBTOTAL(109,Legal25[Diferencia])</f>
        <v>0</v>
      </c>
      <c r="K66" s="19"/>
      <c r="L66" s="19"/>
    </row>
    <row r="67" spans="6:12" x14ac:dyDescent="0.25">
      <c r="F67" s="3"/>
      <c r="K67" s="19"/>
      <c r="L67" s="19"/>
    </row>
    <row r="68" spans="6:12" x14ac:dyDescent="0.25">
      <c r="F68" s="3"/>
      <c r="K68" s="19"/>
      <c r="L68" s="19"/>
    </row>
    <row r="69" spans="6:12" x14ac:dyDescent="0.25">
      <c r="F69" s="3"/>
      <c r="K69" s="19"/>
      <c r="L69" s="19"/>
    </row>
    <row r="70" spans="6:12" x14ac:dyDescent="0.25">
      <c r="K70" s="19"/>
      <c r="L70" s="19"/>
    </row>
  </sheetData>
  <mergeCells count="6">
    <mergeCell ref="B1:H1"/>
    <mergeCell ref="B3:C3"/>
    <mergeCell ref="G3:H3"/>
    <mergeCell ref="G9:H9"/>
    <mergeCell ref="Q11:R11"/>
    <mergeCell ref="Q17:R17"/>
  </mergeCells>
  <conditionalFormatting sqref="J54:J59 J37:J41 J31:J33 J21:J27 E15:E24 E51:E59 E45:E47 E38:E41 H17 E28:E34 J63:J65 J45:J50 E7:E11">
    <cfRule type="iconSet" priority="1">
      <iconSet iconSet="3Arrows">
        <cfvo type="percentile" val="0"/>
        <cfvo type="num" val="-50"/>
        <cfvo type="num" val="50"/>
      </iconSet>
    </cfRule>
  </conditionalFormatting>
  <conditionalFormatting sqref="E15:E24">
    <cfRule type="iconSet" priority="2">
      <iconSet iconSet="4Arrows">
        <cfvo type="percent" val="0"/>
        <cfvo type="percent" val="25"/>
        <cfvo type="percent" val="50"/>
        <cfvo type="percent" val="75"/>
      </iconSet>
    </cfRule>
  </conditionalFormatting>
  <pageMargins left="0.7" right="0.7" top="0.75" bottom="0.75" header="0.3" footer="0.3"/>
  <drawing r:id="rId1"/>
  <tableParts count="1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0"/>
  <sheetViews>
    <sheetView workbookViewId="0">
      <selection activeCell="F3" sqref="F3"/>
    </sheetView>
  </sheetViews>
  <sheetFormatPr defaultRowHeight="15" x14ac:dyDescent="0.25"/>
  <cols>
    <col min="1" max="1" width="5" style="17" customWidth="1"/>
    <col min="2" max="2" width="17.42578125" style="17" customWidth="1"/>
    <col min="3" max="3" width="17.5703125" style="17" bestFit="1" customWidth="1"/>
    <col min="4" max="4" width="14" style="17" bestFit="1" customWidth="1"/>
    <col min="5" max="5" width="13" style="17" customWidth="1"/>
    <col min="6" max="6" width="5.5703125" style="17" customWidth="1"/>
    <col min="7" max="7" width="15.42578125" style="17" customWidth="1"/>
    <col min="8" max="8" width="14.7109375" style="17" bestFit="1" customWidth="1"/>
    <col min="9" max="9" width="12" style="17" bestFit="1" customWidth="1"/>
    <col min="10" max="10" width="10.85546875" style="17" bestFit="1" customWidth="1"/>
    <col min="11" max="16384" width="9.140625" style="17"/>
  </cols>
  <sheetData>
    <row r="1" spans="1:18" ht="62.25" customHeight="1" x14ac:dyDescent="0.3">
      <c r="A1" s="19"/>
      <c r="B1" s="51"/>
      <c r="C1" s="51"/>
      <c r="D1" s="51"/>
      <c r="E1" s="51"/>
      <c r="F1" s="51"/>
      <c r="G1" s="51"/>
      <c r="H1" s="51"/>
      <c r="I1" s="1"/>
      <c r="J1" s="1"/>
      <c r="K1" s="19"/>
      <c r="L1" s="19"/>
    </row>
    <row r="2" spans="1:18" ht="18.75" customHeight="1" thickBot="1" x14ac:dyDescent="0.3">
      <c r="A2" s="19"/>
      <c r="B2" s="38"/>
      <c r="C2" s="38"/>
      <c r="D2" s="38"/>
      <c r="E2" s="38"/>
      <c r="F2" s="38"/>
      <c r="G2" s="38"/>
      <c r="H2" s="38"/>
      <c r="I2" s="38"/>
      <c r="J2" s="38"/>
      <c r="K2" s="19"/>
      <c r="L2" s="19"/>
    </row>
    <row r="3" spans="1:18" ht="39" thickBot="1" x14ac:dyDescent="0.3">
      <c r="B3" s="52" t="s">
        <v>6</v>
      </c>
      <c r="C3" s="53"/>
      <c r="D3" s="23" t="s">
        <v>7</v>
      </c>
      <c r="E3" s="24" t="s">
        <v>8</v>
      </c>
      <c r="F3" s="2"/>
      <c r="G3" s="54" t="s">
        <v>9</v>
      </c>
      <c r="H3" s="55"/>
      <c r="I3" s="2"/>
      <c r="J3" s="2"/>
      <c r="K3" s="19"/>
      <c r="L3" s="19"/>
      <c r="Q3" s="19"/>
      <c r="R3" s="19"/>
    </row>
    <row r="4" spans="1:18" ht="15.75" thickBot="1" x14ac:dyDescent="0.3">
      <c r="B4" s="25"/>
      <c r="C4" s="50">
        <f>Housing[[#Totals],[Costo Presupuestado]]+Transportation[[#Totals],[Costo Presupuestado]]+Insurance[[#Totals],[Costo Presupuestado]]+Food[[#Totals],[Costo Presupuestado]]+Children[[#Totals],[Costo Presupuestado]]+Legal[[#Totals],[Costo Presupuestado]]+Savings[[#Totals],[Costo Presupuestado]]+Loans[[#Totals],[Costo Presupuestado]]+Entertainment[[#Totals],[Costo Presupuestado]]+PersonalCare[[#Totals],[Costo Presupuestado]]+Pets[[#Totals],[Costo Presupuestado]]+Gifts[[#Totals],[Costo Presupuestado]]</f>
        <v>44250</v>
      </c>
      <c r="D4" s="50">
        <f>Housing[[#Totals],[Costo Real]]+Transportation[[#Totals],[Costo Real]]+Insurance[[#Totals],[Costo Real]]+Food[[#Totals],[Costo Real]]+Children[[#Totals],[Costo Real]]+Legal[[#Totals],[Costo Real]]+Savings[[#Totals],[Costo Real]]+Loans[[#Totals],[Costo Real]]+Entertainment[[#Totals],[Costo Real]]+PersonalCare[[#Totals],[Costo Real]]+Pets[[#Totals],[Costo Real]]+Gifts[[#Totals],[Costo Real]]</f>
        <v>39844</v>
      </c>
      <c r="E4" s="45">
        <f>Housing[[#Totals],[Diferencia]]+Transportation[[#Totals],[Diferencia]]+Insurance[[#Totals],[Diferencia]]+Food[[#Totals],[Diferencia]]+Children[[#Totals],[Diferencia]]+Legal[[#Totals],[Diferencia]]+Savings[[#Totals],[Diferencia]]+Loans[[#Totals],[Diferencia]]+Entertainment[[#Totals],[Diferencia]]+PersonalCare[[#Totals],[Diferencia]]+Pets[[#Totals],[Diferencia]]+Gifts[[#Totals],[Diferencia]]</f>
        <v>4406</v>
      </c>
      <c r="F4" s="2"/>
      <c r="G4" s="39" t="s">
        <v>10</v>
      </c>
      <c r="H4" s="48">
        <v>50000</v>
      </c>
      <c r="I4" s="2"/>
      <c r="J4" s="2"/>
      <c r="K4" s="19"/>
      <c r="L4" s="19"/>
      <c r="Q4" s="19"/>
      <c r="R4" s="19"/>
    </row>
    <row r="5" spans="1:18" ht="25.5" x14ac:dyDescent="0.25">
      <c r="F5" s="3"/>
      <c r="G5" s="26" t="s">
        <v>11</v>
      </c>
      <c r="H5" s="46">
        <v>5000</v>
      </c>
      <c r="I5" s="3"/>
      <c r="J5" s="3"/>
      <c r="K5" s="19"/>
      <c r="L5" s="19"/>
      <c r="Q5" s="19"/>
      <c r="R5" s="19"/>
    </row>
    <row r="6" spans="1:18" ht="25.5" x14ac:dyDescent="0.25">
      <c r="B6" s="33" t="s">
        <v>20</v>
      </c>
      <c r="C6" s="13" t="s">
        <v>18</v>
      </c>
      <c r="D6" s="13" t="s">
        <v>19</v>
      </c>
      <c r="E6" s="13" t="s">
        <v>8</v>
      </c>
      <c r="F6" s="3"/>
      <c r="G6" s="26" t="s">
        <v>12</v>
      </c>
      <c r="H6" s="46">
        <v>0</v>
      </c>
      <c r="I6" s="3"/>
      <c r="J6" s="3"/>
      <c r="K6" s="19"/>
      <c r="L6" s="19"/>
      <c r="Q6" s="19"/>
      <c r="R6" s="19"/>
    </row>
    <row r="7" spans="1:18" ht="26.25" thickBot="1" x14ac:dyDescent="0.3">
      <c r="B7" s="3" t="s">
        <v>77</v>
      </c>
      <c r="C7" s="40">
        <v>5000</v>
      </c>
      <c r="D7" s="40">
        <v>5000</v>
      </c>
      <c r="E7" s="40">
        <f>Savings[Costo Presupuestado]-Savings[Costo Real]</f>
        <v>0</v>
      </c>
      <c r="F7" s="3"/>
      <c r="G7" s="27" t="s">
        <v>13</v>
      </c>
      <c r="H7" s="47">
        <f>SUM(H4:H6)</f>
        <v>55000</v>
      </c>
      <c r="I7" s="3"/>
      <c r="J7" s="3"/>
      <c r="K7" s="19"/>
      <c r="L7" s="19"/>
      <c r="Q7" s="19"/>
      <c r="R7" s="19"/>
    </row>
    <row r="8" spans="1:18" ht="15.75" thickBot="1" x14ac:dyDescent="0.3">
      <c r="B8" s="3" t="s">
        <v>78</v>
      </c>
      <c r="C8" s="40"/>
      <c r="D8" s="40"/>
      <c r="E8" s="40">
        <f>Savings[Costo Presupuestado]-Savings[Costo Real]</f>
        <v>0</v>
      </c>
      <c r="F8" s="3"/>
      <c r="G8" s="5"/>
      <c r="H8" s="6"/>
      <c r="I8" s="18"/>
      <c r="J8" s="18"/>
      <c r="K8" s="19"/>
      <c r="L8" s="19"/>
      <c r="Q8" s="19"/>
      <c r="R8" s="19"/>
    </row>
    <row r="9" spans="1:18" ht="25.5" x14ac:dyDescent="0.25">
      <c r="B9" s="3" t="s">
        <v>81</v>
      </c>
      <c r="C9" s="40"/>
      <c r="D9" s="40"/>
      <c r="E9" s="40">
        <f>Savings[Costo Presupuestado]-Savings[Costo Real]</f>
        <v>0</v>
      </c>
      <c r="F9" s="3"/>
      <c r="G9" s="56" t="s">
        <v>14</v>
      </c>
      <c r="H9" s="57"/>
      <c r="I9" s="3"/>
      <c r="J9" s="3"/>
      <c r="K9" s="19" t="s">
        <v>0</v>
      </c>
      <c r="L9" s="19"/>
      <c r="Q9" s="19"/>
      <c r="R9" s="19"/>
    </row>
    <row r="10" spans="1:18" x14ac:dyDescent="0.25">
      <c r="B10" s="36" t="s">
        <v>80</v>
      </c>
      <c r="C10" s="42"/>
      <c r="D10" s="42"/>
      <c r="E10" s="40">
        <f>Savings[Costo Presupuestado]-Savings[Costo Real]</f>
        <v>0</v>
      </c>
      <c r="F10" s="3"/>
      <c r="G10" s="26" t="s">
        <v>10</v>
      </c>
      <c r="H10" s="46">
        <v>48000</v>
      </c>
      <c r="I10" s="3"/>
      <c r="J10" s="3"/>
      <c r="K10" s="19"/>
      <c r="L10" s="19"/>
      <c r="Q10" s="19"/>
      <c r="R10" s="19"/>
    </row>
    <row r="11" spans="1:18" ht="25.5" x14ac:dyDescent="0.25">
      <c r="B11" s="3" t="s">
        <v>79</v>
      </c>
      <c r="C11" s="40"/>
      <c r="D11" s="40"/>
      <c r="E11" s="40">
        <f>Savings[Costo Presupuestado]-Savings[Costo Real]</f>
        <v>0</v>
      </c>
      <c r="F11" s="3"/>
      <c r="G11" s="26" t="s">
        <v>11</v>
      </c>
      <c r="H11" s="46">
        <v>4500</v>
      </c>
      <c r="I11" s="3"/>
      <c r="J11" s="3"/>
      <c r="K11" s="19"/>
      <c r="L11" s="19"/>
      <c r="Q11" s="58"/>
      <c r="R11" s="58"/>
    </row>
    <row r="12" spans="1:18" x14ac:dyDescent="0.25">
      <c r="B12" s="34" t="s">
        <v>3</v>
      </c>
      <c r="C12" s="41">
        <f>SUBTOTAL(109,Savings[Costo Presupuestado])</f>
        <v>5000</v>
      </c>
      <c r="D12" s="41">
        <f>SUBTOTAL(109,Savings[Costo Real])</f>
        <v>5000</v>
      </c>
      <c r="E12" s="41">
        <f>SUBTOTAL(109,Savings[Diferencia])</f>
        <v>0</v>
      </c>
      <c r="F12" s="3"/>
      <c r="G12" s="26" t="s">
        <v>12</v>
      </c>
      <c r="H12" s="46">
        <v>0</v>
      </c>
      <c r="I12" s="3"/>
      <c r="J12" s="3"/>
      <c r="K12" s="19"/>
      <c r="L12" s="19"/>
      <c r="Q12" s="7"/>
      <c r="R12" s="8"/>
    </row>
    <row r="13" spans="1:18" ht="26.25" thickBot="1" x14ac:dyDescent="0.3">
      <c r="F13" s="3"/>
      <c r="G13" s="27" t="s">
        <v>13</v>
      </c>
      <c r="H13" s="47">
        <f>SUM(H10:H12)</f>
        <v>52500</v>
      </c>
      <c r="I13" s="3"/>
      <c r="J13" s="3"/>
      <c r="K13" s="19"/>
      <c r="L13" s="19"/>
      <c r="Q13" s="7"/>
      <c r="R13" s="8"/>
    </row>
    <row r="14" spans="1:18" ht="39" thickBot="1" x14ac:dyDescent="0.3">
      <c r="B14" s="12" t="s">
        <v>17</v>
      </c>
      <c r="C14" s="13" t="s">
        <v>18</v>
      </c>
      <c r="D14" s="13" t="s">
        <v>19</v>
      </c>
      <c r="E14" s="13" t="s">
        <v>8</v>
      </c>
      <c r="F14" s="3"/>
      <c r="G14" s="2"/>
      <c r="H14" s="2"/>
      <c r="I14" s="3"/>
      <c r="J14" s="3"/>
      <c r="K14" s="19"/>
      <c r="L14" s="19"/>
      <c r="Q14" s="7"/>
      <c r="R14" s="8"/>
    </row>
    <row r="15" spans="1:18" ht="25.5" x14ac:dyDescent="0.25">
      <c r="B15" s="3" t="s">
        <v>36</v>
      </c>
      <c r="C15" s="40">
        <v>16000</v>
      </c>
      <c r="D15" s="40">
        <v>16000</v>
      </c>
      <c r="E15" s="4">
        <f>Housing[Costo Presupuestado]-Housing[Costo Real]</f>
        <v>0</v>
      </c>
      <c r="F15" s="3"/>
      <c r="G15" s="29" t="s">
        <v>15</v>
      </c>
      <c r="H15" s="43">
        <f>SUM(H7-C4)</f>
        <v>10750</v>
      </c>
      <c r="I15" s="3"/>
      <c r="J15" s="3"/>
      <c r="K15" s="19"/>
      <c r="L15" s="19"/>
      <c r="Q15" s="7"/>
      <c r="R15" s="8"/>
    </row>
    <row r="16" spans="1:18" ht="25.5" customHeight="1" x14ac:dyDescent="0.25">
      <c r="B16" s="3" t="s">
        <v>37</v>
      </c>
      <c r="C16" s="40">
        <v>0</v>
      </c>
      <c r="D16" s="40">
        <v>0</v>
      </c>
      <c r="E16" s="4">
        <f>Housing[Costo Presupuestado]-Housing[Costo Real]</f>
        <v>0</v>
      </c>
      <c r="F16" s="3"/>
      <c r="G16" s="30" t="s">
        <v>16</v>
      </c>
      <c r="H16" s="44">
        <f>SUM(H13-D4)</f>
        <v>12656</v>
      </c>
      <c r="I16" s="3"/>
      <c r="J16" s="3"/>
      <c r="K16" s="19"/>
      <c r="L16" s="19"/>
      <c r="Q16" s="10"/>
      <c r="R16" s="2"/>
    </row>
    <row r="17" spans="2:18" ht="15.75" thickBot="1" x14ac:dyDescent="0.3">
      <c r="B17" s="3" t="s">
        <v>38</v>
      </c>
      <c r="C17" s="40">
        <v>0</v>
      </c>
      <c r="D17" s="40">
        <v>0</v>
      </c>
      <c r="E17" s="4">
        <f>Housing[Costo Presupuestado]-Housing[Costo Real]</f>
        <v>0</v>
      </c>
      <c r="F17" s="3"/>
      <c r="G17" s="31" t="s">
        <v>8</v>
      </c>
      <c r="H17" s="45">
        <f>SUM(H16-H15)</f>
        <v>1906</v>
      </c>
      <c r="I17" s="3"/>
      <c r="J17" s="3"/>
      <c r="K17" s="19"/>
      <c r="L17" s="19"/>
      <c r="Q17" s="58"/>
      <c r="R17" s="58"/>
    </row>
    <row r="18" spans="2:18" x14ac:dyDescent="0.25">
      <c r="B18" s="3" t="s">
        <v>31</v>
      </c>
      <c r="C18" s="40">
        <v>200</v>
      </c>
      <c r="D18" s="40">
        <v>200</v>
      </c>
      <c r="E18" s="4">
        <f>Housing[Costo Presupuestado]-Housing[Costo Real]</f>
        <v>0</v>
      </c>
      <c r="F18" s="3"/>
      <c r="G18" s="3"/>
      <c r="H18" s="3"/>
      <c r="I18" s="3"/>
      <c r="J18" s="3"/>
      <c r="K18" s="19"/>
      <c r="L18" s="19"/>
      <c r="Q18" s="7"/>
      <c r="R18" s="8"/>
    </row>
    <row r="19" spans="2:18" x14ac:dyDescent="0.25">
      <c r="B19" s="3" t="s">
        <v>32</v>
      </c>
      <c r="C19" s="40">
        <v>100</v>
      </c>
      <c r="D19" s="40">
        <v>100</v>
      </c>
      <c r="E19" s="4">
        <f>Housing[Costo Presupuestado]-Housing[Costo Real]</f>
        <v>0</v>
      </c>
      <c r="F19" s="3"/>
      <c r="G19" s="18"/>
      <c r="H19" s="18"/>
      <c r="I19" s="18"/>
      <c r="J19" s="18"/>
      <c r="K19" s="19"/>
      <c r="L19" s="19"/>
      <c r="Q19" s="7"/>
      <c r="R19" s="8"/>
    </row>
    <row r="20" spans="2:18" ht="25.5" x14ac:dyDescent="0.25">
      <c r="B20" s="3" t="s">
        <v>33</v>
      </c>
      <c r="C20" s="40">
        <v>0</v>
      </c>
      <c r="D20" s="40">
        <v>0</v>
      </c>
      <c r="E20" s="4">
        <f>Housing[Costo Presupuestado]-Housing[Costo Real]</f>
        <v>0</v>
      </c>
      <c r="F20" s="3"/>
      <c r="G20" s="14" t="s">
        <v>29</v>
      </c>
      <c r="H20" s="13" t="s">
        <v>18</v>
      </c>
      <c r="I20" s="13" t="s">
        <v>19</v>
      </c>
      <c r="J20" s="13" t="s">
        <v>8</v>
      </c>
      <c r="K20" s="19"/>
      <c r="L20" s="19"/>
      <c r="Q20" s="7"/>
      <c r="R20" s="8"/>
    </row>
    <row r="21" spans="2:18" ht="25.5" x14ac:dyDescent="0.25">
      <c r="B21" s="3" t="s">
        <v>1</v>
      </c>
      <c r="C21" s="40">
        <v>1000</v>
      </c>
      <c r="D21" s="40">
        <v>900</v>
      </c>
      <c r="E21" s="4">
        <f>Housing[Costo Presupuestado]-Housing[Costo Real]</f>
        <v>100</v>
      </c>
      <c r="F21" s="3"/>
      <c r="G21" s="3" t="s">
        <v>87</v>
      </c>
      <c r="H21" s="40">
        <v>0</v>
      </c>
      <c r="I21" s="40">
        <v>0</v>
      </c>
      <c r="J21" s="4">
        <f>Entertainment[Costo Presupuestado]-Entertainment[Costo Real]</f>
        <v>0</v>
      </c>
      <c r="K21" s="19"/>
      <c r="L21" s="19"/>
      <c r="Q21" s="7"/>
      <c r="R21" s="8"/>
    </row>
    <row r="22" spans="2:18" ht="25.5" customHeight="1" x14ac:dyDescent="0.25">
      <c r="B22" s="3" t="s">
        <v>2</v>
      </c>
      <c r="C22" s="40">
        <v>450</v>
      </c>
      <c r="D22" s="40">
        <v>400</v>
      </c>
      <c r="E22" s="4">
        <f>Housing[Costo Presupuestado]-Housing[Costo Real]</f>
        <v>50</v>
      </c>
      <c r="F22" s="3"/>
      <c r="G22" s="3" t="s">
        <v>86</v>
      </c>
      <c r="H22" s="40">
        <v>5000</v>
      </c>
      <c r="I22" s="40">
        <v>4000</v>
      </c>
      <c r="J22" s="4">
        <f>Entertainment[Costo Presupuestado]-Entertainment[Costo Real]</f>
        <v>1000</v>
      </c>
      <c r="K22" s="19"/>
      <c r="L22" s="19"/>
      <c r="Q22" s="2"/>
      <c r="R22" s="2"/>
    </row>
    <row r="23" spans="2:18" x14ac:dyDescent="0.25">
      <c r="B23" s="3" t="s">
        <v>34</v>
      </c>
      <c r="C23" s="40">
        <v>1800</v>
      </c>
      <c r="D23" s="40">
        <v>1600</v>
      </c>
      <c r="E23" s="9">
        <f>Housing[Costo Presupuestado]-Housing[Costo Real]</f>
        <v>200</v>
      </c>
      <c r="F23" s="3"/>
      <c r="G23" s="3" t="s">
        <v>82</v>
      </c>
      <c r="H23" s="40">
        <v>700</v>
      </c>
      <c r="I23" s="40">
        <v>1000</v>
      </c>
      <c r="J23" s="4">
        <f>Entertainment[Costo Presupuestado]-Entertainment[Costo Real]</f>
        <v>-300</v>
      </c>
      <c r="K23" s="19"/>
      <c r="L23" s="19"/>
      <c r="Q23" s="20"/>
      <c r="R23" s="11"/>
    </row>
    <row r="24" spans="2:18" x14ac:dyDescent="0.25">
      <c r="B24" s="3" t="s">
        <v>35</v>
      </c>
      <c r="C24" s="40">
        <v>500</v>
      </c>
      <c r="D24" s="40">
        <v>44</v>
      </c>
      <c r="E24" s="4">
        <f>Housing[Costo Presupuestado]-Housing[Costo Real]</f>
        <v>456</v>
      </c>
      <c r="F24" s="3"/>
      <c r="G24" s="3" t="s">
        <v>83</v>
      </c>
      <c r="H24" s="40">
        <v>0</v>
      </c>
      <c r="I24" s="40">
        <v>0</v>
      </c>
      <c r="J24" s="4">
        <f>Entertainment[Costo Presupuestado]-Entertainment[Costo Real]</f>
        <v>0</v>
      </c>
      <c r="K24" s="19"/>
      <c r="L24" s="19"/>
    </row>
    <row r="25" spans="2:18" ht="25.5" x14ac:dyDescent="0.25">
      <c r="B25" s="21" t="s">
        <v>3</v>
      </c>
      <c r="C25" s="40">
        <f>SUBTOTAL(109,Housing[Costo Presupuestado])</f>
        <v>20050</v>
      </c>
      <c r="D25" s="40">
        <f>SUBTOTAL(109,Housing[Costo Real])</f>
        <v>19244</v>
      </c>
      <c r="E25" s="40">
        <f>SUBTOTAL(109,Housing[Diferencia])</f>
        <v>806</v>
      </c>
      <c r="F25" s="3"/>
      <c r="G25" s="3" t="s">
        <v>84</v>
      </c>
      <c r="H25" s="40">
        <v>0</v>
      </c>
      <c r="I25" s="40">
        <v>0</v>
      </c>
      <c r="J25" s="4">
        <f>Entertainment[Costo Presupuestado]-Entertainment[Costo Real]</f>
        <v>0</v>
      </c>
      <c r="K25" s="19"/>
      <c r="L25" s="19"/>
    </row>
    <row r="26" spans="2:18" x14ac:dyDescent="0.25">
      <c r="B26" s="37"/>
      <c r="C26" s="37"/>
      <c r="D26" s="37"/>
      <c r="E26" s="37"/>
      <c r="F26" s="3"/>
      <c r="G26" s="3" t="s">
        <v>85</v>
      </c>
      <c r="H26" s="40">
        <v>0</v>
      </c>
      <c r="I26" s="40">
        <v>0</v>
      </c>
      <c r="J26" s="4">
        <f>Entertainment[Costo Presupuestado]-Entertainment[Costo Real]</f>
        <v>0</v>
      </c>
      <c r="K26" s="19"/>
      <c r="L26" s="19"/>
    </row>
    <row r="27" spans="2:18" ht="25.5" x14ac:dyDescent="0.25">
      <c r="B27" s="28" t="s">
        <v>30</v>
      </c>
      <c r="C27" s="13" t="s">
        <v>18</v>
      </c>
      <c r="D27" s="13" t="s">
        <v>19</v>
      </c>
      <c r="E27" s="13" t="s">
        <v>8</v>
      </c>
      <c r="F27" s="3"/>
      <c r="G27" s="3" t="s">
        <v>64</v>
      </c>
      <c r="H27" s="40"/>
      <c r="I27" s="40"/>
      <c r="J27" s="4">
        <f>Entertainment[Costo Presupuestado]-Entertainment[Costo Real]</f>
        <v>0</v>
      </c>
      <c r="K27" s="19"/>
      <c r="L27" s="19"/>
    </row>
    <row r="28" spans="2:18" ht="25.5" x14ac:dyDescent="0.25">
      <c r="B28" s="3" t="s">
        <v>43</v>
      </c>
      <c r="C28" s="40">
        <v>0</v>
      </c>
      <c r="D28" s="40">
        <v>0</v>
      </c>
      <c r="E28" s="4">
        <f>Transportation[Costo Presupuestado]-Transportation[Costo Real]</f>
        <v>0</v>
      </c>
      <c r="F28" s="3"/>
      <c r="G28" s="34" t="s">
        <v>3</v>
      </c>
      <c r="H28" s="35">
        <f>SUBTOTAL(109,Entertainment[Costo Presupuestado])</f>
        <v>5700</v>
      </c>
      <c r="I28" s="35">
        <f>SUBTOTAL(109,Entertainment[Costo Real])</f>
        <v>5000</v>
      </c>
      <c r="J28" s="35">
        <f>SUBTOTAL(109,Entertainment[Diferencia])</f>
        <v>700</v>
      </c>
      <c r="K28" s="19"/>
      <c r="L28" s="19"/>
    </row>
    <row r="29" spans="2:18" ht="25.5" x14ac:dyDescent="0.25">
      <c r="B29" s="3" t="s">
        <v>44</v>
      </c>
      <c r="C29" s="40">
        <v>0</v>
      </c>
      <c r="D29" s="40">
        <v>0</v>
      </c>
      <c r="E29" s="4">
        <f>Transportation[Costo Presupuestado]-Transportation[Costo Real]</f>
        <v>0</v>
      </c>
      <c r="F29" s="3"/>
      <c r="K29" s="19"/>
      <c r="L29" s="19"/>
    </row>
    <row r="30" spans="2:18" ht="25.5" x14ac:dyDescent="0.25">
      <c r="B30" s="3" t="s">
        <v>39</v>
      </c>
      <c r="C30" s="40">
        <v>0</v>
      </c>
      <c r="D30" s="40">
        <v>0</v>
      </c>
      <c r="E30" s="4">
        <f>Transportation[Costo Presupuestado]-Transportation[Costo Real]</f>
        <v>0</v>
      </c>
      <c r="F30" s="3"/>
      <c r="G30" s="15" t="s">
        <v>28</v>
      </c>
      <c r="H30" s="13" t="s">
        <v>18</v>
      </c>
      <c r="I30" s="13" t="s">
        <v>19</v>
      </c>
      <c r="J30" s="13" t="s">
        <v>8</v>
      </c>
      <c r="K30" s="19"/>
      <c r="L30" s="19"/>
    </row>
    <row r="31" spans="2:18" x14ac:dyDescent="0.25">
      <c r="B31" s="3" t="s">
        <v>40</v>
      </c>
      <c r="C31" s="40">
        <v>6000</v>
      </c>
      <c r="D31" s="40">
        <v>4000</v>
      </c>
      <c r="E31" s="4">
        <f>Transportation[Costo Presupuestado]-Transportation[Costo Real]</f>
        <v>2000</v>
      </c>
      <c r="F31" s="3"/>
      <c r="G31" s="3" t="s">
        <v>49</v>
      </c>
      <c r="H31" s="40"/>
      <c r="I31" s="40">
        <v>0</v>
      </c>
      <c r="J31" s="4">
        <f>Gifts[Costo Presupuestado]-Gifts[Costo Real]</f>
        <v>0</v>
      </c>
      <c r="K31" s="19"/>
      <c r="L31" s="19"/>
    </row>
    <row r="32" spans="2:18" x14ac:dyDescent="0.25">
      <c r="B32" s="3" t="s">
        <v>41</v>
      </c>
      <c r="C32" s="40">
        <v>0</v>
      </c>
      <c r="D32" s="40">
        <v>0</v>
      </c>
      <c r="E32" s="4">
        <f>Transportation[Costo Presupuestado]-Transportation[Costo Real]</f>
        <v>0</v>
      </c>
      <c r="F32" s="3"/>
      <c r="G32" s="3" t="s">
        <v>50</v>
      </c>
      <c r="H32" s="40"/>
      <c r="I32" s="40"/>
      <c r="J32" s="4">
        <f>Gifts[Costo Presupuestado]-Gifts[Costo Real]</f>
        <v>0</v>
      </c>
      <c r="K32" s="19"/>
      <c r="L32" s="19"/>
    </row>
    <row r="33" spans="2:12" x14ac:dyDescent="0.25">
      <c r="B33" s="3" t="s">
        <v>42</v>
      </c>
      <c r="C33" s="40">
        <v>0</v>
      </c>
      <c r="D33" s="40">
        <v>0</v>
      </c>
      <c r="E33" s="4">
        <f>Transportation[Costo Presupuestado]-Transportation[Costo Real]</f>
        <v>0</v>
      </c>
      <c r="F33" s="3"/>
      <c r="G33" s="3" t="s">
        <v>51</v>
      </c>
      <c r="H33" s="40"/>
      <c r="I33" s="40"/>
      <c r="J33" s="4">
        <f>Gifts[Costo Presupuestado]-Gifts[Costo Real]</f>
        <v>0</v>
      </c>
      <c r="K33" s="19"/>
      <c r="L33" s="19"/>
    </row>
    <row r="34" spans="2:12" x14ac:dyDescent="0.25">
      <c r="B34" s="3" t="s">
        <v>38</v>
      </c>
      <c r="C34" s="40">
        <v>0</v>
      </c>
      <c r="D34" s="40">
        <v>0</v>
      </c>
      <c r="E34" s="4">
        <f>Transportation[Costo Presupuestado]-Transportation[Costo Real]</f>
        <v>0</v>
      </c>
      <c r="F34" s="3"/>
      <c r="G34" s="34" t="s">
        <v>3</v>
      </c>
      <c r="H34" s="41">
        <f>SUBTOTAL(109,Gifts[Costo Presupuestado])</f>
        <v>0</v>
      </c>
      <c r="I34" s="41">
        <f>SUBTOTAL(109,Gifts[Costo Real])</f>
        <v>0</v>
      </c>
      <c r="J34" s="41">
        <f>SUBTOTAL(109,Gifts[Diferencia])</f>
        <v>0</v>
      </c>
      <c r="K34" s="19"/>
      <c r="L34" s="19"/>
    </row>
    <row r="35" spans="2:12" x14ac:dyDescent="0.25">
      <c r="B35" s="34" t="s">
        <v>3</v>
      </c>
      <c r="C35" s="41">
        <f>SUBTOTAL(109,Transportation[Costo Presupuestado])</f>
        <v>6000</v>
      </c>
      <c r="D35" s="41">
        <f>SUBTOTAL(109,Transportation[Costo Real])</f>
        <v>4000</v>
      </c>
      <c r="E35" s="41">
        <f>SUBTOTAL(109,Transportation[Diferencia])</f>
        <v>2000</v>
      </c>
      <c r="F35" s="3"/>
      <c r="K35" s="19"/>
      <c r="L35" s="19"/>
    </row>
    <row r="36" spans="2:12" ht="25.5" x14ac:dyDescent="0.25">
      <c r="B36" s="37"/>
      <c r="C36" s="37"/>
      <c r="D36" s="37"/>
      <c r="E36" s="37"/>
      <c r="F36" s="3"/>
      <c r="G36" s="32" t="s">
        <v>25</v>
      </c>
      <c r="H36" s="13" t="s">
        <v>18</v>
      </c>
      <c r="I36" s="13" t="s">
        <v>19</v>
      </c>
      <c r="J36" s="13" t="s">
        <v>8</v>
      </c>
      <c r="K36" s="19"/>
      <c r="L36" s="19"/>
    </row>
    <row r="37" spans="2:12" ht="25.5" x14ac:dyDescent="0.25">
      <c r="B37" s="16" t="s">
        <v>27</v>
      </c>
      <c r="C37" s="13" t="s">
        <v>18</v>
      </c>
      <c r="D37" s="13" t="s">
        <v>19</v>
      </c>
      <c r="E37" s="13" t="s">
        <v>8</v>
      </c>
      <c r="F37" s="3"/>
      <c r="G37" s="3" t="s">
        <v>52</v>
      </c>
      <c r="H37" s="40"/>
      <c r="I37" s="40"/>
      <c r="J37" s="4">
        <f>Pets[Costo Presupuestado]-Pets[Costo Real]</f>
        <v>0</v>
      </c>
      <c r="K37" s="19"/>
      <c r="L37" s="19"/>
    </row>
    <row r="38" spans="2:12" x14ac:dyDescent="0.25">
      <c r="B38" s="3" t="s">
        <v>45</v>
      </c>
      <c r="C38" s="40">
        <v>0</v>
      </c>
      <c r="D38" s="40">
        <v>0</v>
      </c>
      <c r="E38" s="4">
        <f>Insurance[Costo Presupuestado]-Insurance[Costo Real]</f>
        <v>0</v>
      </c>
      <c r="F38" s="3"/>
      <c r="G38" s="3" t="s">
        <v>53</v>
      </c>
      <c r="H38" s="40"/>
      <c r="I38" s="40"/>
      <c r="J38" s="4">
        <f>Pets[Costo Presupuestado]-Pets[Costo Real]</f>
        <v>0</v>
      </c>
      <c r="K38" s="19"/>
      <c r="L38" s="19"/>
    </row>
    <row r="39" spans="2:12" x14ac:dyDescent="0.25">
      <c r="B39" s="3" t="s">
        <v>46</v>
      </c>
      <c r="C39" s="40">
        <v>500</v>
      </c>
      <c r="D39" s="40">
        <v>500</v>
      </c>
      <c r="E39" s="4">
        <f>Insurance[Costo Presupuestado]-Insurance[Costo Real]</f>
        <v>0</v>
      </c>
      <c r="F39" s="3"/>
      <c r="G39" s="3" t="s">
        <v>54</v>
      </c>
      <c r="H39" s="40"/>
      <c r="I39" s="40"/>
      <c r="J39" s="4">
        <f>Pets[Costo Presupuestado]-Pets[Costo Real]</f>
        <v>0</v>
      </c>
      <c r="K39" s="19"/>
      <c r="L39" s="19"/>
    </row>
    <row r="40" spans="2:12" x14ac:dyDescent="0.25">
      <c r="B40" s="3" t="s">
        <v>47</v>
      </c>
      <c r="C40" s="40">
        <v>0</v>
      </c>
      <c r="D40" s="40">
        <v>0</v>
      </c>
      <c r="E40" s="4">
        <f>Insurance[Costo Presupuestado]-Insurance[Costo Real]</f>
        <v>0</v>
      </c>
      <c r="F40" s="3"/>
      <c r="G40" s="3" t="s">
        <v>55</v>
      </c>
      <c r="H40" s="40"/>
      <c r="I40" s="40"/>
      <c r="J40" s="4">
        <f>Pets[Costo Presupuestado]-Pets[Costo Real]</f>
        <v>0</v>
      </c>
      <c r="K40" s="19"/>
      <c r="L40" s="19"/>
    </row>
    <row r="41" spans="2:12" x14ac:dyDescent="0.25">
      <c r="B41" s="3" t="s">
        <v>48</v>
      </c>
      <c r="C41" s="40">
        <v>0</v>
      </c>
      <c r="D41" s="40">
        <v>0</v>
      </c>
      <c r="E41" s="4">
        <f>Insurance[Costo Presupuestado]-Insurance[Costo Real]</f>
        <v>0</v>
      </c>
      <c r="F41" s="3"/>
      <c r="G41" s="3" t="s">
        <v>56</v>
      </c>
      <c r="H41" s="40"/>
      <c r="I41" s="40"/>
      <c r="J41" s="4">
        <f>Pets[Costo Presupuestado]-Pets[Costo Real]</f>
        <v>0</v>
      </c>
      <c r="K41" s="19"/>
      <c r="L41" s="19"/>
    </row>
    <row r="42" spans="2:12" x14ac:dyDescent="0.25">
      <c r="B42" s="34" t="s">
        <v>3</v>
      </c>
      <c r="C42" s="41">
        <f>SUBTOTAL(109,Insurance[Costo Presupuestado])</f>
        <v>500</v>
      </c>
      <c r="D42" s="41">
        <f>SUBTOTAL(109,Insurance[Costo Real])</f>
        <v>500</v>
      </c>
      <c r="E42" s="41">
        <f>SUBTOTAL(109,Insurance[Diferencia])</f>
        <v>0</v>
      </c>
      <c r="F42" s="3"/>
      <c r="G42" s="34" t="s">
        <v>3</v>
      </c>
      <c r="H42" s="49">
        <f>SUBTOTAL(109,Pets[Costo Presupuestado])</f>
        <v>0</v>
      </c>
      <c r="I42" s="49">
        <f>SUBTOTAL(109,Pets[Costo Real])</f>
        <v>0</v>
      </c>
      <c r="J42" s="49">
        <f>SUBTOTAL(109,Pets[Diferencia])</f>
        <v>0</v>
      </c>
      <c r="K42" s="19"/>
      <c r="L42" s="19"/>
    </row>
    <row r="43" spans="2:12" ht="25.5" customHeight="1" x14ac:dyDescent="0.25">
      <c r="B43" s="37"/>
      <c r="C43" s="37"/>
      <c r="D43" s="37"/>
      <c r="E43" s="37"/>
      <c r="F43" s="3"/>
      <c r="K43" s="19"/>
      <c r="L43" s="19"/>
    </row>
    <row r="44" spans="2:12" ht="25.5" x14ac:dyDescent="0.25">
      <c r="B44" s="16" t="s">
        <v>26</v>
      </c>
      <c r="C44" s="13" t="s">
        <v>18</v>
      </c>
      <c r="D44" s="13" t="s">
        <v>19</v>
      </c>
      <c r="E44" s="13" t="s">
        <v>8</v>
      </c>
      <c r="F44" s="3"/>
      <c r="G44" s="32" t="s">
        <v>24</v>
      </c>
      <c r="H44" s="13" t="s">
        <v>18</v>
      </c>
      <c r="I44" s="13" t="s">
        <v>19</v>
      </c>
      <c r="J44" s="13" t="s">
        <v>8</v>
      </c>
      <c r="K44" s="19"/>
      <c r="L44" s="19"/>
    </row>
    <row r="45" spans="2:12" x14ac:dyDescent="0.25">
      <c r="B45" s="3" t="s">
        <v>57</v>
      </c>
      <c r="C45" s="40">
        <v>2000</v>
      </c>
      <c r="D45" s="40">
        <v>2500</v>
      </c>
      <c r="E45" s="4">
        <f>Food[Costo Presupuestado]-Food[Costo Real]</f>
        <v>-500</v>
      </c>
      <c r="F45" s="3"/>
      <c r="G45" s="3" t="s">
        <v>72</v>
      </c>
      <c r="H45" s="40"/>
      <c r="I45" s="40"/>
      <c r="J45" s="4">
        <f>PersonalCare[Costo Presupuestado]-PersonalCare[Costo Real]</f>
        <v>0</v>
      </c>
      <c r="K45" s="19"/>
      <c r="L45" s="19"/>
    </row>
    <row r="46" spans="2:12" x14ac:dyDescent="0.25">
      <c r="B46" s="3" t="s">
        <v>58</v>
      </c>
      <c r="C46" s="40">
        <v>4000</v>
      </c>
      <c r="D46" s="40">
        <v>3000</v>
      </c>
      <c r="E46" s="4">
        <f>Food[Costo Presupuestado]-Food[Costo Real]</f>
        <v>1000</v>
      </c>
      <c r="F46" s="3"/>
      <c r="G46" s="3" t="s">
        <v>73</v>
      </c>
      <c r="H46" s="40"/>
      <c r="I46" s="40"/>
      <c r="J46" s="4">
        <f>PersonalCare[Costo Presupuestado]-PersonalCare[Costo Real]</f>
        <v>0</v>
      </c>
      <c r="K46" s="19"/>
      <c r="L46" s="19"/>
    </row>
    <row r="47" spans="2:12" x14ac:dyDescent="0.25">
      <c r="B47" s="3" t="s">
        <v>56</v>
      </c>
      <c r="C47" s="40">
        <v>0</v>
      </c>
      <c r="D47" s="40">
        <v>0</v>
      </c>
      <c r="E47" s="4">
        <f>Food[Costo Presupuestado]-Food[Costo Real]</f>
        <v>0</v>
      </c>
      <c r="F47" s="3"/>
      <c r="G47" s="3" t="s">
        <v>74</v>
      </c>
      <c r="H47" s="40">
        <v>1000</v>
      </c>
      <c r="I47" s="40">
        <v>600</v>
      </c>
      <c r="J47" s="4">
        <f>PersonalCare[Costo Presupuestado]-PersonalCare[Costo Real]</f>
        <v>400</v>
      </c>
      <c r="K47" s="19"/>
      <c r="L47" s="19"/>
    </row>
    <row r="48" spans="2:12" x14ac:dyDescent="0.25">
      <c r="B48" s="34" t="s">
        <v>3</v>
      </c>
      <c r="C48" s="41">
        <f>SUBTOTAL(109,Food[Costo Presupuestado])</f>
        <v>6000</v>
      </c>
      <c r="D48" s="41">
        <f>SUBTOTAL(109,Food[Costo Real])</f>
        <v>5500</v>
      </c>
      <c r="E48" s="41">
        <f>SUBTOTAL(109,Food[Diferencia])</f>
        <v>500</v>
      </c>
      <c r="F48" s="3"/>
      <c r="G48" s="3" t="s">
        <v>75</v>
      </c>
      <c r="H48" s="40"/>
      <c r="I48" s="40"/>
      <c r="J48" s="4">
        <f>PersonalCare[Costo Presupuestado]-PersonalCare[Costo Real]</f>
        <v>0</v>
      </c>
      <c r="K48" s="19"/>
      <c r="L48" s="19"/>
    </row>
    <row r="49" spans="2:12" ht="25.5" customHeight="1" x14ac:dyDescent="0.25">
      <c r="B49" s="37"/>
      <c r="C49" s="37"/>
      <c r="D49" s="37"/>
      <c r="E49" s="37"/>
      <c r="F49" s="3"/>
      <c r="G49" s="3" t="s">
        <v>76</v>
      </c>
      <c r="H49" s="40"/>
      <c r="I49" s="40"/>
      <c r="J49" s="4">
        <f>PersonalCare[Costo Presupuestado]-PersonalCare[Costo Real]</f>
        <v>0</v>
      </c>
      <c r="K49" s="19"/>
      <c r="L49" s="19"/>
    </row>
    <row r="50" spans="2:12" ht="25.5" customHeight="1" x14ac:dyDescent="0.25">
      <c r="B50" s="16" t="s">
        <v>23</v>
      </c>
      <c r="C50" s="13" t="s">
        <v>18</v>
      </c>
      <c r="D50" s="13" t="s">
        <v>19</v>
      </c>
      <c r="E50" s="13" t="s">
        <v>8</v>
      </c>
      <c r="F50" s="3"/>
      <c r="G50" s="3" t="s">
        <v>64</v>
      </c>
      <c r="H50" s="40"/>
      <c r="I50" s="40"/>
      <c r="J50" s="4">
        <f>PersonalCare[Costo Presupuestado]-PersonalCare[Costo Real]</f>
        <v>0</v>
      </c>
      <c r="K50" s="19"/>
      <c r="L50" s="19"/>
    </row>
    <row r="51" spans="2:12" x14ac:dyDescent="0.25">
      <c r="B51" s="21" t="s">
        <v>65</v>
      </c>
      <c r="C51" s="40">
        <v>0</v>
      </c>
      <c r="D51" s="40">
        <v>0</v>
      </c>
      <c r="E51" s="4">
        <f>Children[Costo Presupuestado]-Children[Costo Real]</f>
        <v>0</v>
      </c>
      <c r="F51" s="3"/>
      <c r="G51" s="34" t="s">
        <v>3</v>
      </c>
      <c r="H51" s="49">
        <f>SUBTOTAL(109,PersonalCare[Costo Presupuestado])</f>
        <v>1000</v>
      </c>
      <c r="I51" s="49">
        <f>SUBTOTAL(109,PersonalCare[Costo Real])</f>
        <v>600</v>
      </c>
      <c r="J51" s="49">
        <f>SUBTOTAL(109,PersonalCare[Diferencia])</f>
        <v>400</v>
      </c>
      <c r="K51" s="19"/>
      <c r="L51" s="19"/>
    </row>
    <row r="52" spans="2:12" x14ac:dyDescent="0.25">
      <c r="B52" s="21" t="s">
        <v>74</v>
      </c>
      <c r="C52" s="40">
        <v>0</v>
      </c>
      <c r="D52" s="40">
        <v>0</v>
      </c>
      <c r="E52" s="4">
        <f>Children[Costo Presupuestado]-Children[Costo Real]</f>
        <v>0</v>
      </c>
      <c r="F52" s="3"/>
      <c r="K52" s="19"/>
      <c r="L52" s="19"/>
    </row>
    <row r="53" spans="2:12" ht="38.25" x14ac:dyDescent="0.25">
      <c r="B53" s="21" t="s">
        <v>59</v>
      </c>
      <c r="C53" s="40">
        <v>0</v>
      </c>
      <c r="D53" s="40">
        <v>0</v>
      </c>
      <c r="E53" s="4">
        <f>Children[Costo Presupuestado]-Children[Costo Real]</f>
        <v>0</v>
      </c>
      <c r="F53" s="3"/>
      <c r="G53" s="22" t="s">
        <v>22</v>
      </c>
      <c r="H53" s="13" t="s">
        <v>18</v>
      </c>
      <c r="I53" s="13" t="s">
        <v>19</v>
      </c>
      <c r="J53" s="13" t="s">
        <v>8</v>
      </c>
      <c r="K53" s="19"/>
      <c r="L53" s="19"/>
    </row>
    <row r="54" spans="2:12" ht="25.5" x14ac:dyDescent="0.25">
      <c r="B54" s="21" t="s">
        <v>60</v>
      </c>
      <c r="C54" s="40">
        <v>0</v>
      </c>
      <c r="D54" s="40">
        <v>0</v>
      </c>
      <c r="E54" s="4">
        <f>Children[Costo Presupuestado]-Children[Costo Real]</f>
        <v>0</v>
      </c>
      <c r="F54" s="3"/>
      <c r="G54" s="3" t="s">
        <v>5</v>
      </c>
      <c r="H54" s="40"/>
      <c r="I54" s="40"/>
      <c r="J54" s="4">
        <f>Loans[Costo Presupuestado]-Loans[Costo Real]</f>
        <v>0</v>
      </c>
      <c r="K54" s="19"/>
      <c r="L54" s="19"/>
    </row>
    <row r="55" spans="2:12" ht="25.5" x14ac:dyDescent="0.25">
      <c r="B55" s="21" t="s">
        <v>4</v>
      </c>
      <c r="C55" s="40">
        <v>0</v>
      </c>
      <c r="D55" s="40">
        <v>0</v>
      </c>
      <c r="E55" s="4">
        <f>Children[Costo Presupuestado]-Children[Costo Real]</f>
        <v>0</v>
      </c>
      <c r="F55" s="3"/>
      <c r="G55" s="3" t="s">
        <v>68</v>
      </c>
      <c r="H55" s="40"/>
      <c r="I55" s="40"/>
      <c r="J55" s="4">
        <f>Loans[Costo Presupuestado]-Loans[Costo Real]</f>
        <v>0</v>
      </c>
      <c r="K55" s="19"/>
      <c r="L55" s="19"/>
    </row>
    <row r="56" spans="2:12" ht="25.5" x14ac:dyDescent="0.25">
      <c r="B56" s="21" t="s">
        <v>61</v>
      </c>
      <c r="C56" s="40">
        <v>0</v>
      </c>
      <c r="D56" s="40">
        <v>0</v>
      </c>
      <c r="E56" s="4">
        <f>Children[Costo Presupuestado]-Children[Costo Real]</f>
        <v>0</v>
      </c>
      <c r="F56" s="3"/>
      <c r="G56" s="3" t="s">
        <v>69</v>
      </c>
      <c r="H56" s="40"/>
      <c r="I56" s="40"/>
      <c r="J56" s="4">
        <f>Loans[Costo Presupuestado]-Loans[Costo Real]</f>
        <v>0</v>
      </c>
      <c r="K56" s="19"/>
      <c r="L56" s="19"/>
    </row>
    <row r="57" spans="2:12" x14ac:dyDescent="0.25">
      <c r="B57" s="21" t="s">
        <v>62</v>
      </c>
      <c r="C57" s="40">
        <v>0</v>
      </c>
      <c r="D57" s="40">
        <v>0</v>
      </c>
      <c r="E57" s="4">
        <f>Children[Costo Presupuestado]-Children[Costo Real]</f>
        <v>0</v>
      </c>
      <c r="F57" s="3"/>
      <c r="G57" s="3" t="s">
        <v>70</v>
      </c>
      <c r="H57" s="40"/>
      <c r="I57" s="40"/>
      <c r="J57" s="4">
        <f>Loans[Costo Presupuestado]-Loans[Costo Real]</f>
        <v>0</v>
      </c>
      <c r="K57" s="19"/>
      <c r="L57" s="19"/>
    </row>
    <row r="58" spans="2:12" x14ac:dyDescent="0.25">
      <c r="B58" s="21" t="s">
        <v>63</v>
      </c>
      <c r="C58" s="40">
        <v>0</v>
      </c>
      <c r="D58" s="40">
        <v>0</v>
      </c>
      <c r="E58" s="4">
        <f>Children[Costo Presupuestado]-Children[Costo Real]</f>
        <v>0</v>
      </c>
      <c r="F58" s="3"/>
      <c r="G58" s="3" t="s">
        <v>71</v>
      </c>
      <c r="H58" s="40"/>
      <c r="I58" s="40"/>
      <c r="J58" s="4">
        <f>Loans[Costo Presupuestado]-Loans[Costo Real]</f>
        <v>0</v>
      </c>
      <c r="K58" s="19"/>
      <c r="L58" s="19"/>
    </row>
    <row r="59" spans="2:12" x14ac:dyDescent="0.25">
      <c r="B59" s="21" t="s">
        <v>64</v>
      </c>
      <c r="C59" s="40">
        <v>0</v>
      </c>
      <c r="D59" s="40">
        <v>0</v>
      </c>
      <c r="E59" s="4">
        <f>Children[Costo Presupuestado]-Children[Costo Real]</f>
        <v>0</v>
      </c>
      <c r="F59" s="3"/>
      <c r="G59" s="3" t="s">
        <v>64</v>
      </c>
      <c r="H59" s="40"/>
      <c r="I59" s="40"/>
      <c r="J59" s="4">
        <f>Loans[Costo Presupuestado]-Loans[Costo Real]</f>
        <v>0</v>
      </c>
      <c r="K59" s="19"/>
      <c r="L59" s="19"/>
    </row>
    <row r="60" spans="2:12" x14ac:dyDescent="0.25">
      <c r="B60" s="34" t="s">
        <v>3</v>
      </c>
      <c r="C60" s="41">
        <f>SUBTOTAL(109,Children[Costo Presupuestado])</f>
        <v>0</v>
      </c>
      <c r="D60" s="41">
        <f>SUBTOTAL(109,Children[Costo Real])</f>
        <v>0</v>
      </c>
      <c r="E60" s="41">
        <f>SUBTOTAL(109,Children[Diferencia])</f>
        <v>0</v>
      </c>
      <c r="F60" s="3"/>
      <c r="G60" s="34" t="s">
        <v>3</v>
      </c>
      <c r="H60" s="49">
        <f>SUBTOTAL(109,Loans[Costo Presupuestado])</f>
        <v>0</v>
      </c>
      <c r="I60" s="49">
        <f>SUBTOTAL(109,Loans[Costo Real])</f>
        <v>0</v>
      </c>
      <c r="J60" s="49">
        <f>SUBTOTAL(109,Loans[Diferencia])</f>
        <v>0</v>
      </c>
      <c r="K60" s="19"/>
      <c r="L60" s="19"/>
    </row>
    <row r="61" spans="2:12" x14ac:dyDescent="0.25">
      <c r="F61" s="3"/>
      <c r="K61" s="19"/>
      <c r="L61" s="19"/>
    </row>
    <row r="62" spans="2:12" ht="25.5" x14ac:dyDescent="0.25">
      <c r="F62" s="3"/>
      <c r="G62" s="15" t="s">
        <v>21</v>
      </c>
      <c r="H62" s="13" t="s">
        <v>18</v>
      </c>
      <c r="I62" s="13" t="s">
        <v>19</v>
      </c>
      <c r="J62" s="13" t="s">
        <v>8</v>
      </c>
      <c r="K62" s="19"/>
      <c r="L62" s="19"/>
    </row>
    <row r="63" spans="2:12" x14ac:dyDescent="0.25">
      <c r="F63" s="3"/>
      <c r="G63" s="3" t="s">
        <v>66</v>
      </c>
      <c r="H63" s="40"/>
      <c r="I63" s="40"/>
      <c r="J63" s="4">
        <f>Legal[Costo Presupuestado]-Legal[Costo Real]</f>
        <v>0</v>
      </c>
      <c r="K63" s="19"/>
      <c r="L63" s="19"/>
    </row>
    <row r="64" spans="2:12" x14ac:dyDescent="0.25">
      <c r="F64" s="3"/>
      <c r="G64" s="3" t="s">
        <v>67</v>
      </c>
      <c r="H64" s="40"/>
      <c r="I64" s="40"/>
      <c r="J64" s="4">
        <f>Legal[Costo Presupuestado]-Legal[Costo Real]</f>
        <v>0</v>
      </c>
      <c r="K64" s="19"/>
      <c r="L64" s="19"/>
    </row>
    <row r="65" spans="6:12" x14ac:dyDescent="0.25">
      <c r="F65" s="3"/>
      <c r="G65" s="3" t="s">
        <v>64</v>
      </c>
      <c r="H65" s="40"/>
      <c r="I65" s="40"/>
      <c r="J65" s="4">
        <f>Legal[Costo Presupuestado]-Legal[Costo Real]</f>
        <v>0</v>
      </c>
      <c r="K65" s="19"/>
      <c r="L65" s="19"/>
    </row>
    <row r="66" spans="6:12" x14ac:dyDescent="0.25">
      <c r="F66" s="3"/>
      <c r="G66" s="34" t="s">
        <v>3</v>
      </c>
      <c r="H66" s="41">
        <f>SUBTOTAL(109,Legal[Costo Presupuestado])</f>
        <v>0</v>
      </c>
      <c r="I66" s="41">
        <f>SUBTOTAL(109,Legal[Costo Real])</f>
        <v>0</v>
      </c>
      <c r="J66" s="41">
        <f>SUBTOTAL(109,Legal[Diferencia])</f>
        <v>0</v>
      </c>
      <c r="K66" s="19"/>
      <c r="L66" s="19"/>
    </row>
    <row r="67" spans="6:12" x14ac:dyDescent="0.25">
      <c r="F67" s="3"/>
      <c r="K67" s="19"/>
      <c r="L67" s="19"/>
    </row>
    <row r="68" spans="6:12" x14ac:dyDescent="0.25">
      <c r="F68" s="3"/>
      <c r="K68" s="19"/>
      <c r="L68" s="19"/>
    </row>
    <row r="69" spans="6:12" x14ac:dyDescent="0.25">
      <c r="F69" s="3"/>
      <c r="K69" s="19"/>
      <c r="L69" s="19"/>
    </row>
    <row r="70" spans="6:12" x14ac:dyDescent="0.25">
      <c r="K70" s="19"/>
      <c r="L70" s="19"/>
    </row>
  </sheetData>
  <mergeCells count="6">
    <mergeCell ref="Q17:R17"/>
    <mergeCell ref="B1:H1"/>
    <mergeCell ref="B3:C3"/>
    <mergeCell ref="G3:H3"/>
    <mergeCell ref="G9:H9"/>
    <mergeCell ref="Q11:R11"/>
  </mergeCells>
  <conditionalFormatting sqref="J54:J59 J37:J41 J31:J33 J21:J27 E15:E24 E51:E59 E45:E47 E38:E41 H17 E28:E34 J63:J65 J45:J50 E7:E11">
    <cfRule type="iconSet" priority="2">
      <iconSet iconSet="3Arrows">
        <cfvo type="percentile" val="0"/>
        <cfvo type="num" val="-50"/>
        <cfvo type="num" val="50"/>
      </iconSet>
    </cfRule>
  </conditionalFormatting>
  <conditionalFormatting sqref="E15:E24">
    <cfRule type="iconSet" priority="3">
      <iconSet iconSet="4Arrows">
        <cfvo type="percent" val="0"/>
        <cfvo type="percent" val="25"/>
        <cfvo type="percent" val="50"/>
        <cfvo type="percent" val="75"/>
      </iconSet>
    </cfRule>
  </conditionalFormatting>
  <pageMargins left="0.7" right="0.7" top="0.75" bottom="0.75" header="0.3" footer="0.3"/>
  <drawing r:id="rId1"/>
  <tableParts count="1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0"/>
  <sheetViews>
    <sheetView workbookViewId="0">
      <selection activeCell="F3" sqref="F3"/>
    </sheetView>
  </sheetViews>
  <sheetFormatPr defaultRowHeight="15" x14ac:dyDescent="0.25"/>
  <cols>
    <col min="1" max="1" width="5" style="17" customWidth="1"/>
    <col min="2" max="2" width="17.42578125" style="17" customWidth="1"/>
    <col min="3" max="3" width="17.5703125" style="17" bestFit="1" customWidth="1"/>
    <col min="4" max="4" width="14" style="17" bestFit="1" customWidth="1"/>
    <col min="5" max="5" width="13" style="17" customWidth="1"/>
    <col min="6" max="6" width="5.5703125" style="17" customWidth="1"/>
    <col min="7" max="7" width="15.42578125" style="17" customWidth="1"/>
    <col min="8" max="8" width="14.7109375" style="17" bestFit="1" customWidth="1"/>
    <col min="9" max="9" width="12" style="17" bestFit="1" customWidth="1"/>
    <col min="10" max="10" width="10.85546875" style="17" bestFit="1" customWidth="1"/>
    <col min="11" max="16384" width="9.140625" style="17"/>
  </cols>
  <sheetData>
    <row r="1" spans="1:18" ht="62.25" customHeight="1" x14ac:dyDescent="0.3">
      <c r="A1" s="19"/>
      <c r="B1" s="51"/>
      <c r="C1" s="51"/>
      <c r="D1" s="51"/>
      <c r="E1" s="51"/>
      <c r="F1" s="51"/>
      <c r="G1" s="51"/>
      <c r="H1" s="51"/>
      <c r="I1" s="1"/>
      <c r="J1" s="1"/>
      <c r="K1" s="19"/>
      <c r="L1" s="19"/>
    </row>
    <row r="2" spans="1:18" ht="18.75" customHeight="1" thickBot="1" x14ac:dyDescent="0.3">
      <c r="A2" s="19"/>
      <c r="B2" s="38"/>
      <c r="C2" s="38"/>
      <c r="D2" s="38"/>
      <c r="E2" s="38"/>
      <c r="F2" s="38"/>
      <c r="G2" s="38"/>
      <c r="H2" s="38"/>
      <c r="I2" s="38"/>
      <c r="J2" s="38"/>
      <c r="K2" s="19"/>
      <c r="L2" s="19"/>
    </row>
    <row r="3" spans="1:18" ht="26.25" thickBot="1" x14ac:dyDescent="0.3">
      <c r="B3" s="52" t="s">
        <v>6</v>
      </c>
      <c r="C3" s="53"/>
      <c r="D3" s="23" t="s">
        <v>7</v>
      </c>
      <c r="E3" s="24" t="s">
        <v>8</v>
      </c>
      <c r="F3" s="2"/>
      <c r="G3" s="54" t="s">
        <v>9</v>
      </c>
      <c r="H3" s="55"/>
      <c r="I3" s="2"/>
      <c r="J3" s="2"/>
      <c r="K3" s="19"/>
      <c r="L3" s="19"/>
      <c r="Q3" s="19"/>
      <c r="R3" s="19"/>
    </row>
    <row r="4" spans="1:18" ht="15.75" thickBot="1" x14ac:dyDescent="0.3">
      <c r="B4" s="25"/>
      <c r="C4" s="50">
        <f>Housing1126[[#Totals],[Costo Presupuestado]]+Transportation1527[[#Totals],[Costo Presupuestado]]+Insurance1628[[#Totals],[Costo Presupuestado]]+Food1729[[#Totals],[Costo Presupuestado]]+Children1830[[#Totals],[Costo Presupuestado]]+Legal2537[[#Totals],[Costo Presupuestado]]+Savings2335[[#Totals],[Costo Presupuestado]]+Loans2234[[#Totals],[Costo Presupuestado]]+Entertainment2133[[#Totals],[Costo Presupuestado]]+PersonalCare2032[[#Totals],[Costo Presupuestado]]+Pets1931[[#Totals],[Costo Presupuestado]]+Gifts2436[[#Totals],[Costo Presupuestado]]</f>
        <v>44250</v>
      </c>
      <c r="D4" s="50">
        <f>Housing1126[[#Totals],[Costo Real]]+Transportation1527[[#Totals],[Costo Real]]+Insurance1628[[#Totals],[Costo Real]]+Food1729[[#Totals],[Costo Real]]+Children1830[[#Totals],[Costo Real]]+Legal2537[[#Totals],[Costo Real]]+Savings2335[[#Totals],[Costo Real]]+Loans2234[[#Totals],[Costo Real]]+Entertainment2133[[#Totals],[Costo Real]]+PersonalCare2032[[#Totals],[Costo Real]]+Pets1931[[#Totals],[Costo Real]]+Gifts2436[[#Totals],[Costo Real]]</f>
        <v>39844</v>
      </c>
      <c r="E4" s="45">
        <f>Housing1126[[#Totals],[Diferencia]]+Transportation1527[[#Totals],[Diferencia]]+Insurance1628[[#Totals],[Diferencia]]+Food1729[[#Totals],[Diferencia]]+Children1830[[#Totals],[Diferencia]]+Legal2537[[#Totals],[Diferencia]]+Savings2335[[#Totals],[Diferencia]]+Loans2234[[#Totals],[Diferencia]]+Entertainment2133[[#Totals],[Diferencia]]+PersonalCare2032[[#Totals],[Diferencia]]+Pets1931[[#Totals],[Diferencia]]+Gifts2436[[#Totals],[Diferencia]]</f>
        <v>4406</v>
      </c>
      <c r="F4" s="2"/>
      <c r="G4" s="39" t="s">
        <v>10</v>
      </c>
      <c r="H4" s="48">
        <v>50000</v>
      </c>
      <c r="I4" s="2"/>
      <c r="J4" s="2"/>
      <c r="K4" s="19"/>
      <c r="L4" s="19"/>
      <c r="Q4" s="19"/>
      <c r="R4" s="19"/>
    </row>
    <row r="5" spans="1:18" ht="25.5" x14ac:dyDescent="0.25">
      <c r="F5" s="3"/>
      <c r="G5" s="26" t="s">
        <v>11</v>
      </c>
      <c r="H5" s="46">
        <v>5000</v>
      </c>
      <c r="I5" s="3"/>
      <c r="J5" s="3"/>
      <c r="K5" s="19"/>
      <c r="L5" s="19"/>
      <c r="Q5" s="19"/>
      <c r="R5" s="19"/>
    </row>
    <row r="6" spans="1:18" ht="25.5" x14ac:dyDescent="0.25">
      <c r="B6" s="33" t="s">
        <v>20</v>
      </c>
      <c r="C6" s="13" t="s">
        <v>18</v>
      </c>
      <c r="D6" s="13" t="s">
        <v>19</v>
      </c>
      <c r="E6" s="13" t="s">
        <v>8</v>
      </c>
      <c r="F6" s="3"/>
      <c r="G6" s="26" t="s">
        <v>12</v>
      </c>
      <c r="H6" s="46">
        <v>0</v>
      </c>
      <c r="I6" s="3"/>
      <c r="J6" s="3"/>
      <c r="K6" s="19"/>
      <c r="L6" s="19"/>
      <c r="Q6" s="19"/>
      <c r="R6" s="19"/>
    </row>
    <row r="7" spans="1:18" ht="26.25" thickBot="1" x14ac:dyDescent="0.3">
      <c r="B7" s="3" t="s">
        <v>77</v>
      </c>
      <c r="C7" s="40">
        <v>5000</v>
      </c>
      <c r="D7" s="40">
        <v>5000</v>
      </c>
      <c r="E7" s="40">
        <f>Savings2335[Costo Presupuestado]-Savings2335[Costo Real]</f>
        <v>0</v>
      </c>
      <c r="F7" s="3"/>
      <c r="G7" s="27" t="s">
        <v>13</v>
      </c>
      <c r="H7" s="47">
        <f>SUM(H4:H6)</f>
        <v>55000</v>
      </c>
      <c r="I7" s="3"/>
      <c r="J7" s="3"/>
      <c r="K7" s="19"/>
      <c r="L7" s="19"/>
      <c r="Q7" s="19"/>
      <c r="R7" s="19"/>
    </row>
    <row r="8" spans="1:18" ht="15.75" thickBot="1" x14ac:dyDescent="0.3">
      <c r="B8" s="3" t="s">
        <v>78</v>
      </c>
      <c r="C8" s="40"/>
      <c r="D8" s="40"/>
      <c r="E8" s="40">
        <f>Savings2335[Costo Presupuestado]-Savings2335[Costo Real]</f>
        <v>0</v>
      </c>
      <c r="F8" s="3"/>
      <c r="G8" s="5"/>
      <c r="H8" s="6"/>
      <c r="I8" s="18"/>
      <c r="J8" s="18"/>
      <c r="K8" s="19"/>
      <c r="L8" s="19"/>
      <c r="Q8" s="19"/>
      <c r="R8" s="19"/>
    </row>
    <row r="9" spans="1:18" ht="25.5" x14ac:dyDescent="0.25">
      <c r="B9" s="3" t="s">
        <v>81</v>
      </c>
      <c r="C9" s="40"/>
      <c r="D9" s="40"/>
      <c r="E9" s="40">
        <f>Savings2335[Costo Presupuestado]-Savings2335[Costo Real]</f>
        <v>0</v>
      </c>
      <c r="F9" s="3"/>
      <c r="G9" s="56" t="s">
        <v>14</v>
      </c>
      <c r="H9" s="57"/>
      <c r="I9" s="3"/>
      <c r="J9" s="3"/>
      <c r="K9" s="19" t="s">
        <v>0</v>
      </c>
      <c r="L9" s="19"/>
      <c r="Q9" s="19"/>
      <c r="R9" s="19"/>
    </row>
    <row r="10" spans="1:18" x14ac:dyDescent="0.25">
      <c r="B10" s="36" t="s">
        <v>80</v>
      </c>
      <c r="C10" s="42"/>
      <c r="D10" s="42"/>
      <c r="E10" s="40">
        <f>Savings2335[Costo Presupuestado]-Savings2335[Costo Real]</f>
        <v>0</v>
      </c>
      <c r="F10" s="3"/>
      <c r="G10" s="26" t="s">
        <v>10</v>
      </c>
      <c r="H10" s="46">
        <v>48000</v>
      </c>
      <c r="I10" s="3"/>
      <c r="J10" s="3"/>
      <c r="K10" s="19"/>
      <c r="L10" s="19"/>
      <c r="Q10" s="19"/>
      <c r="R10" s="19"/>
    </row>
    <row r="11" spans="1:18" ht="25.5" x14ac:dyDescent="0.25">
      <c r="B11" s="3" t="s">
        <v>79</v>
      </c>
      <c r="C11" s="40"/>
      <c r="D11" s="40"/>
      <c r="E11" s="40">
        <f>Savings2335[Costo Presupuestado]-Savings2335[Costo Real]</f>
        <v>0</v>
      </c>
      <c r="F11" s="3"/>
      <c r="G11" s="26" t="s">
        <v>11</v>
      </c>
      <c r="H11" s="46">
        <v>4500</v>
      </c>
      <c r="I11" s="3"/>
      <c r="J11" s="3"/>
      <c r="K11" s="19"/>
      <c r="L11" s="19"/>
      <c r="Q11" s="58"/>
      <c r="R11" s="58"/>
    </row>
    <row r="12" spans="1:18" x14ac:dyDescent="0.25">
      <c r="B12" s="34" t="s">
        <v>3</v>
      </c>
      <c r="C12" s="41">
        <f>SUBTOTAL(109,Savings2335[Costo Presupuestado])</f>
        <v>5000</v>
      </c>
      <c r="D12" s="41">
        <f>SUBTOTAL(109,Savings2335[Costo Real])</f>
        <v>5000</v>
      </c>
      <c r="E12" s="41">
        <f>SUBTOTAL(109,Savings2335[Diferencia])</f>
        <v>0</v>
      </c>
      <c r="F12" s="3"/>
      <c r="G12" s="26" t="s">
        <v>12</v>
      </c>
      <c r="H12" s="46">
        <v>0</v>
      </c>
      <c r="I12" s="3"/>
      <c r="J12" s="3"/>
      <c r="K12" s="19"/>
      <c r="L12" s="19"/>
      <c r="Q12" s="7"/>
      <c r="R12" s="8"/>
    </row>
    <row r="13" spans="1:18" ht="26.25" thickBot="1" x14ac:dyDescent="0.3">
      <c r="F13" s="3"/>
      <c r="G13" s="27" t="s">
        <v>13</v>
      </c>
      <c r="H13" s="47">
        <f>SUM(H10:H12)</f>
        <v>52500</v>
      </c>
      <c r="I13" s="3"/>
      <c r="J13" s="3"/>
      <c r="K13" s="19"/>
      <c r="L13" s="19"/>
      <c r="Q13" s="7"/>
      <c r="R13" s="8"/>
    </row>
    <row r="14" spans="1:18" ht="26.25" thickBot="1" x14ac:dyDescent="0.3">
      <c r="B14" s="12" t="s">
        <v>17</v>
      </c>
      <c r="C14" s="13" t="s">
        <v>18</v>
      </c>
      <c r="D14" s="13" t="s">
        <v>19</v>
      </c>
      <c r="E14" s="13" t="s">
        <v>8</v>
      </c>
      <c r="F14" s="3"/>
      <c r="G14" s="2"/>
      <c r="H14" s="2"/>
      <c r="I14" s="3"/>
      <c r="J14" s="3"/>
      <c r="K14" s="19"/>
      <c r="L14" s="19"/>
      <c r="Q14" s="7"/>
      <c r="R14" s="8"/>
    </row>
    <row r="15" spans="1:18" ht="25.5" x14ac:dyDescent="0.25">
      <c r="B15" s="3" t="s">
        <v>36</v>
      </c>
      <c r="C15" s="40">
        <v>16000</v>
      </c>
      <c r="D15" s="40">
        <v>16000</v>
      </c>
      <c r="E15" s="4">
        <f>Housing1126[Costo Presupuestado]-Housing1126[Costo Real]</f>
        <v>0</v>
      </c>
      <c r="F15" s="3"/>
      <c r="G15" s="29" t="s">
        <v>15</v>
      </c>
      <c r="H15" s="43">
        <f>SUM(H7-C4)</f>
        <v>10750</v>
      </c>
      <c r="I15" s="3"/>
      <c r="J15" s="3"/>
      <c r="K15" s="19"/>
      <c r="L15" s="19"/>
      <c r="Q15" s="7"/>
      <c r="R15" s="8"/>
    </row>
    <row r="16" spans="1:18" ht="25.5" customHeight="1" x14ac:dyDescent="0.25">
      <c r="B16" s="3" t="s">
        <v>37</v>
      </c>
      <c r="C16" s="40">
        <v>0</v>
      </c>
      <c r="D16" s="40">
        <v>0</v>
      </c>
      <c r="E16" s="4">
        <f>Housing1126[Costo Presupuestado]-Housing1126[Costo Real]</f>
        <v>0</v>
      </c>
      <c r="F16" s="3"/>
      <c r="G16" s="30" t="s">
        <v>16</v>
      </c>
      <c r="H16" s="44">
        <f>SUM(H13-D4)</f>
        <v>12656</v>
      </c>
      <c r="I16" s="3"/>
      <c r="J16" s="3"/>
      <c r="K16" s="19"/>
      <c r="L16" s="19"/>
      <c r="Q16" s="10"/>
      <c r="R16" s="2"/>
    </row>
    <row r="17" spans="2:18" ht="15.75" thickBot="1" x14ac:dyDescent="0.3">
      <c r="B17" s="3" t="s">
        <v>38</v>
      </c>
      <c r="C17" s="40">
        <v>0</v>
      </c>
      <c r="D17" s="40">
        <v>0</v>
      </c>
      <c r="E17" s="4">
        <f>Housing1126[Costo Presupuestado]-Housing1126[Costo Real]</f>
        <v>0</v>
      </c>
      <c r="F17" s="3"/>
      <c r="G17" s="31" t="s">
        <v>8</v>
      </c>
      <c r="H17" s="45">
        <f>SUM(H16-H15)</f>
        <v>1906</v>
      </c>
      <c r="I17" s="3"/>
      <c r="J17" s="3"/>
      <c r="K17" s="19"/>
      <c r="L17" s="19"/>
      <c r="Q17" s="58"/>
      <c r="R17" s="58"/>
    </row>
    <row r="18" spans="2:18" x14ac:dyDescent="0.25">
      <c r="B18" s="3" t="s">
        <v>31</v>
      </c>
      <c r="C18" s="40">
        <v>200</v>
      </c>
      <c r="D18" s="40">
        <v>200</v>
      </c>
      <c r="E18" s="4">
        <f>Housing1126[Costo Presupuestado]-Housing1126[Costo Real]</f>
        <v>0</v>
      </c>
      <c r="F18" s="3"/>
      <c r="G18" s="3"/>
      <c r="H18" s="3"/>
      <c r="I18" s="3"/>
      <c r="J18" s="3"/>
      <c r="K18" s="19"/>
      <c r="L18" s="19"/>
      <c r="Q18" s="7"/>
      <c r="R18" s="8"/>
    </row>
    <row r="19" spans="2:18" x14ac:dyDescent="0.25">
      <c r="B19" s="3" t="s">
        <v>32</v>
      </c>
      <c r="C19" s="40">
        <v>100</v>
      </c>
      <c r="D19" s="40">
        <v>100</v>
      </c>
      <c r="E19" s="4">
        <f>Housing1126[Costo Presupuestado]-Housing1126[Costo Real]</f>
        <v>0</v>
      </c>
      <c r="F19" s="3"/>
      <c r="G19" s="18"/>
      <c r="H19" s="18"/>
      <c r="I19" s="18"/>
      <c r="J19" s="18"/>
      <c r="K19" s="19"/>
      <c r="L19" s="19"/>
      <c r="Q19" s="7"/>
      <c r="R19" s="8"/>
    </row>
    <row r="20" spans="2:18" ht="25.5" x14ac:dyDescent="0.25">
      <c r="B20" s="3" t="s">
        <v>33</v>
      </c>
      <c r="C20" s="40">
        <v>0</v>
      </c>
      <c r="D20" s="40">
        <v>0</v>
      </c>
      <c r="E20" s="4">
        <f>Housing1126[Costo Presupuestado]-Housing1126[Costo Real]</f>
        <v>0</v>
      </c>
      <c r="F20" s="3"/>
      <c r="G20" s="14" t="s">
        <v>29</v>
      </c>
      <c r="H20" s="13" t="s">
        <v>18</v>
      </c>
      <c r="I20" s="13" t="s">
        <v>19</v>
      </c>
      <c r="J20" s="13" t="s">
        <v>8</v>
      </c>
      <c r="K20" s="19"/>
      <c r="L20" s="19"/>
      <c r="Q20" s="7"/>
      <c r="R20" s="8"/>
    </row>
    <row r="21" spans="2:18" ht="25.5" x14ac:dyDescent="0.25">
      <c r="B21" s="3" t="s">
        <v>1</v>
      </c>
      <c r="C21" s="40">
        <v>1000</v>
      </c>
      <c r="D21" s="40">
        <v>900</v>
      </c>
      <c r="E21" s="4">
        <f>Housing1126[Costo Presupuestado]-Housing1126[Costo Real]</f>
        <v>100</v>
      </c>
      <c r="F21" s="3"/>
      <c r="G21" s="3" t="s">
        <v>87</v>
      </c>
      <c r="H21" s="40">
        <v>0</v>
      </c>
      <c r="I21" s="40">
        <v>0</v>
      </c>
      <c r="J21" s="4">
        <f>Entertainment2133[Costo Presupuestado]-Entertainment2133[Costo Real]</f>
        <v>0</v>
      </c>
      <c r="K21" s="19"/>
      <c r="L21" s="19"/>
      <c r="Q21" s="7"/>
      <c r="R21" s="8"/>
    </row>
    <row r="22" spans="2:18" ht="25.5" customHeight="1" x14ac:dyDescent="0.25">
      <c r="B22" s="3" t="s">
        <v>2</v>
      </c>
      <c r="C22" s="40">
        <v>450</v>
      </c>
      <c r="D22" s="40">
        <v>400</v>
      </c>
      <c r="E22" s="4">
        <f>Housing1126[Costo Presupuestado]-Housing1126[Costo Real]</f>
        <v>50</v>
      </c>
      <c r="F22" s="3"/>
      <c r="G22" s="3" t="s">
        <v>86</v>
      </c>
      <c r="H22" s="40">
        <v>5000</v>
      </c>
      <c r="I22" s="40">
        <v>4000</v>
      </c>
      <c r="J22" s="4">
        <f>Entertainment2133[Costo Presupuestado]-Entertainment2133[Costo Real]</f>
        <v>1000</v>
      </c>
      <c r="K22" s="19"/>
      <c r="L22" s="19"/>
      <c r="Q22" s="2"/>
      <c r="R22" s="2"/>
    </row>
    <row r="23" spans="2:18" x14ac:dyDescent="0.25">
      <c r="B23" s="3" t="s">
        <v>34</v>
      </c>
      <c r="C23" s="40">
        <v>1800</v>
      </c>
      <c r="D23" s="40">
        <v>1600</v>
      </c>
      <c r="E23" s="9">
        <f>Housing1126[Costo Presupuestado]-Housing1126[Costo Real]</f>
        <v>200</v>
      </c>
      <c r="F23" s="3"/>
      <c r="G23" s="3" t="s">
        <v>82</v>
      </c>
      <c r="H23" s="40">
        <v>700</v>
      </c>
      <c r="I23" s="40">
        <v>1000</v>
      </c>
      <c r="J23" s="4">
        <f>Entertainment2133[Costo Presupuestado]-Entertainment2133[Costo Real]</f>
        <v>-300</v>
      </c>
      <c r="K23" s="19"/>
      <c r="L23" s="19"/>
      <c r="Q23" s="20"/>
      <c r="R23" s="11"/>
    </row>
    <row r="24" spans="2:18" x14ac:dyDescent="0.25">
      <c r="B24" s="3" t="s">
        <v>35</v>
      </c>
      <c r="C24" s="40">
        <v>500</v>
      </c>
      <c r="D24" s="40">
        <v>44</v>
      </c>
      <c r="E24" s="4">
        <f>Housing1126[Costo Presupuestado]-Housing1126[Costo Real]</f>
        <v>456</v>
      </c>
      <c r="F24" s="3"/>
      <c r="G24" s="3" t="s">
        <v>83</v>
      </c>
      <c r="H24" s="40">
        <v>0</v>
      </c>
      <c r="I24" s="40">
        <v>0</v>
      </c>
      <c r="J24" s="4">
        <f>Entertainment2133[Costo Presupuestado]-Entertainment2133[Costo Real]</f>
        <v>0</v>
      </c>
      <c r="K24" s="19"/>
      <c r="L24" s="19"/>
    </row>
    <row r="25" spans="2:18" ht="25.5" x14ac:dyDescent="0.25">
      <c r="B25" s="21" t="s">
        <v>3</v>
      </c>
      <c r="C25" s="40">
        <f>SUBTOTAL(109,Housing1126[Costo Presupuestado])</f>
        <v>20050</v>
      </c>
      <c r="D25" s="40">
        <f>SUBTOTAL(109,Housing1126[Costo Real])</f>
        <v>19244</v>
      </c>
      <c r="E25" s="40">
        <f>SUBTOTAL(109,Housing1126[Diferencia])</f>
        <v>806</v>
      </c>
      <c r="F25" s="3"/>
      <c r="G25" s="3" t="s">
        <v>84</v>
      </c>
      <c r="H25" s="40">
        <v>0</v>
      </c>
      <c r="I25" s="40">
        <v>0</v>
      </c>
      <c r="J25" s="4">
        <f>Entertainment2133[Costo Presupuestado]-Entertainment2133[Costo Real]</f>
        <v>0</v>
      </c>
      <c r="K25" s="19"/>
      <c r="L25" s="19"/>
    </row>
    <row r="26" spans="2:18" x14ac:dyDescent="0.25">
      <c r="B26" s="37"/>
      <c r="C26" s="37"/>
      <c r="D26" s="37"/>
      <c r="E26" s="37"/>
      <c r="F26" s="3"/>
      <c r="G26" s="3" t="s">
        <v>85</v>
      </c>
      <c r="H26" s="40">
        <v>0</v>
      </c>
      <c r="I26" s="40">
        <v>0</v>
      </c>
      <c r="J26" s="4">
        <f>Entertainment2133[Costo Presupuestado]-Entertainment2133[Costo Real]</f>
        <v>0</v>
      </c>
      <c r="K26" s="19"/>
      <c r="L26" s="19"/>
    </row>
    <row r="27" spans="2:18" ht="25.5" x14ac:dyDescent="0.25">
      <c r="B27" s="28" t="s">
        <v>30</v>
      </c>
      <c r="C27" s="13" t="s">
        <v>18</v>
      </c>
      <c r="D27" s="13" t="s">
        <v>19</v>
      </c>
      <c r="E27" s="13" t="s">
        <v>8</v>
      </c>
      <c r="F27" s="3"/>
      <c r="G27" s="3" t="s">
        <v>64</v>
      </c>
      <c r="H27" s="40"/>
      <c r="I27" s="40"/>
      <c r="J27" s="4">
        <f>Entertainment2133[Costo Presupuestado]-Entertainment2133[Costo Real]</f>
        <v>0</v>
      </c>
      <c r="K27" s="19"/>
      <c r="L27" s="19"/>
    </row>
    <row r="28" spans="2:18" ht="25.5" x14ac:dyDescent="0.25">
      <c r="B28" s="3" t="s">
        <v>43</v>
      </c>
      <c r="C28" s="40">
        <v>0</v>
      </c>
      <c r="D28" s="40">
        <v>0</v>
      </c>
      <c r="E28" s="4">
        <f>Transportation1527[Costo Presupuestado]-Transportation1527[Costo Real]</f>
        <v>0</v>
      </c>
      <c r="F28" s="3"/>
      <c r="G28" s="34" t="s">
        <v>3</v>
      </c>
      <c r="H28" s="35">
        <f>SUBTOTAL(109,Entertainment2133[Costo Presupuestado])</f>
        <v>5700</v>
      </c>
      <c r="I28" s="35">
        <f>SUBTOTAL(109,Entertainment2133[Costo Real])</f>
        <v>5000</v>
      </c>
      <c r="J28" s="35">
        <f>SUBTOTAL(109,Entertainment2133[Diferencia])</f>
        <v>700</v>
      </c>
      <c r="K28" s="19"/>
      <c r="L28" s="19"/>
    </row>
    <row r="29" spans="2:18" ht="25.5" x14ac:dyDescent="0.25">
      <c r="B29" s="3" t="s">
        <v>44</v>
      </c>
      <c r="C29" s="40">
        <v>0</v>
      </c>
      <c r="D29" s="40">
        <v>0</v>
      </c>
      <c r="E29" s="4">
        <f>Transportation1527[Costo Presupuestado]-Transportation1527[Costo Real]</f>
        <v>0</v>
      </c>
      <c r="F29" s="3"/>
      <c r="K29" s="19"/>
      <c r="L29" s="19"/>
    </row>
    <row r="30" spans="2:18" ht="25.5" x14ac:dyDescent="0.25">
      <c r="B30" s="3" t="s">
        <v>39</v>
      </c>
      <c r="C30" s="40">
        <v>0</v>
      </c>
      <c r="D30" s="40">
        <v>0</v>
      </c>
      <c r="E30" s="4">
        <f>Transportation1527[Costo Presupuestado]-Transportation1527[Costo Real]</f>
        <v>0</v>
      </c>
      <c r="F30" s="3"/>
      <c r="G30" s="15" t="s">
        <v>28</v>
      </c>
      <c r="H30" s="13" t="s">
        <v>18</v>
      </c>
      <c r="I30" s="13" t="s">
        <v>19</v>
      </c>
      <c r="J30" s="13" t="s">
        <v>8</v>
      </c>
      <c r="K30" s="19"/>
      <c r="L30" s="19"/>
    </row>
    <row r="31" spans="2:18" x14ac:dyDescent="0.25">
      <c r="B31" s="3" t="s">
        <v>40</v>
      </c>
      <c r="C31" s="40">
        <v>6000</v>
      </c>
      <c r="D31" s="40">
        <v>4000</v>
      </c>
      <c r="E31" s="4">
        <f>Transportation1527[Costo Presupuestado]-Transportation1527[Costo Real]</f>
        <v>2000</v>
      </c>
      <c r="F31" s="3"/>
      <c r="G31" s="3" t="s">
        <v>49</v>
      </c>
      <c r="H31" s="40"/>
      <c r="I31" s="40">
        <v>0</v>
      </c>
      <c r="J31" s="4">
        <f>Gifts2436[Costo Presupuestado]-Gifts2436[Costo Real]</f>
        <v>0</v>
      </c>
      <c r="K31" s="19"/>
      <c r="L31" s="19"/>
    </row>
    <row r="32" spans="2:18" x14ac:dyDescent="0.25">
      <c r="B32" s="3" t="s">
        <v>41</v>
      </c>
      <c r="C32" s="40">
        <v>0</v>
      </c>
      <c r="D32" s="40">
        <v>0</v>
      </c>
      <c r="E32" s="4">
        <f>Transportation1527[Costo Presupuestado]-Transportation1527[Costo Real]</f>
        <v>0</v>
      </c>
      <c r="F32" s="3"/>
      <c r="G32" s="3" t="s">
        <v>50</v>
      </c>
      <c r="H32" s="40"/>
      <c r="I32" s="40"/>
      <c r="J32" s="4">
        <f>Gifts2436[Costo Presupuestado]-Gifts2436[Costo Real]</f>
        <v>0</v>
      </c>
      <c r="K32" s="19"/>
      <c r="L32" s="19"/>
    </row>
    <row r="33" spans="2:12" x14ac:dyDescent="0.25">
      <c r="B33" s="3" t="s">
        <v>42</v>
      </c>
      <c r="C33" s="40">
        <v>0</v>
      </c>
      <c r="D33" s="40">
        <v>0</v>
      </c>
      <c r="E33" s="4">
        <f>Transportation1527[Costo Presupuestado]-Transportation1527[Costo Real]</f>
        <v>0</v>
      </c>
      <c r="F33" s="3"/>
      <c r="G33" s="3" t="s">
        <v>51</v>
      </c>
      <c r="H33" s="40"/>
      <c r="I33" s="40"/>
      <c r="J33" s="4">
        <f>Gifts2436[Costo Presupuestado]-Gifts2436[Costo Real]</f>
        <v>0</v>
      </c>
      <c r="K33" s="19"/>
      <c r="L33" s="19"/>
    </row>
    <row r="34" spans="2:12" x14ac:dyDescent="0.25">
      <c r="B34" s="3" t="s">
        <v>38</v>
      </c>
      <c r="C34" s="40">
        <v>0</v>
      </c>
      <c r="D34" s="40">
        <v>0</v>
      </c>
      <c r="E34" s="4">
        <f>Transportation1527[Costo Presupuestado]-Transportation1527[Costo Real]</f>
        <v>0</v>
      </c>
      <c r="F34" s="3"/>
      <c r="G34" s="34" t="s">
        <v>3</v>
      </c>
      <c r="H34" s="41">
        <f>SUBTOTAL(109,Gifts2436[Costo Presupuestado])</f>
        <v>0</v>
      </c>
      <c r="I34" s="41">
        <f>SUBTOTAL(109,Gifts2436[Costo Real])</f>
        <v>0</v>
      </c>
      <c r="J34" s="41">
        <f>SUBTOTAL(109,Gifts2436[Diferencia])</f>
        <v>0</v>
      </c>
      <c r="K34" s="19"/>
      <c r="L34" s="19"/>
    </row>
    <row r="35" spans="2:12" x14ac:dyDescent="0.25">
      <c r="B35" s="34" t="s">
        <v>3</v>
      </c>
      <c r="C35" s="41">
        <f>SUBTOTAL(109,Transportation1527[Costo Presupuestado])</f>
        <v>6000</v>
      </c>
      <c r="D35" s="41">
        <f>SUBTOTAL(109,Transportation1527[Costo Real])</f>
        <v>4000</v>
      </c>
      <c r="E35" s="41">
        <f>SUBTOTAL(109,Transportation1527[Diferencia])</f>
        <v>2000</v>
      </c>
      <c r="F35" s="3"/>
      <c r="K35" s="19"/>
      <c r="L35" s="19"/>
    </row>
    <row r="36" spans="2:12" ht="25.5" x14ac:dyDescent="0.25">
      <c r="B36" s="37"/>
      <c r="C36" s="37"/>
      <c r="D36" s="37"/>
      <c r="E36" s="37"/>
      <c r="F36" s="3"/>
      <c r="G36" s="32" t="s">
        <v>25</v>
      </c>
      <c r="H36" s="13" t="s">
        <v>18</v>
      </c>
      <c r="I36" s="13" t="s">
        <v>19</v>
      </c>
      <c r="J36" s="13" t="s">
        <v>8</v>
      </c>
      <c r="K36" s="19"/>
      <c r="L36" s="19"/>
    </row>
    <row r="37" spans="2:12" ht="25.5" x14ac:dyDescent="0.25">
      <c r="B37" s="16" t="s">
        <v>27</v>
      </c>
      <c r="C37" s="13" t="s">
        <v>18</v>
      </c>
      <c r="D37" s="13" t="s">
        <v>19</v>
      </c>
      <c r="E37" s="13" t="s">
        <v>8</v>
      </c>
      <c r="F37" s="3"/>
      <c r="G37" s="3" t="s">
        <v>52</v>
      </c>
      <c r="H37" s="40"/>
      <c r="I37" s="40"/>
      <c r="J37" s="4">
        <f>Pets1931[Costo Presupuestado]-Pets1931[Costo Real]</f>
        <v>0</v>
      </c>
      <c r="K37" s="19"/>
      <c r="L37" s="19"/>
    </row>
    <row r="38" spans="2:12" x14ac:dyDescent="0.25">
      <c r="B38" s="3" t="s">
        <v>45</v>
      </c>
      <c r="C38" s="40">
        <v>0</v>
      </c>
      <c r="D38" s="40">
        <v>0</v>
      </c>
      <c r="E38" s="4">
        <f>Insurance1628[Costo Presupuestado]-Insurance1628[Costo Real]</f>
        <v>0</v>
      </c>
      <c r="F38" s="3"/>
      <c r="G38" s="3" t="s">
        <v>53</v>
      </c>
      <c r="H38" s="40"/>
      <c r="I38" s="40"/>
      <c r="J38" s="4">
        <f>Pets1931[Costo Presupuestado]-Pets1931[Costo Real]</f>
        <v>0</v>
      </c>
      <c r="K38" s="19"/>
      <c r="L38" s="19"/>
    </row>
    <row r="39" spans="2:12" x14ac:dyDescent="0.25">
      <c r="B39" s="3" t="s">
        <v>46</v>
      </c>
      <c r="C39" s="40">
        <v>500</v>
      </c>
      <c r="D39" s="40">
        <v>500</v>
      </c>
      <c r="E39" s="4">
        <f>Insurance1628[Costo Presupuestado]-Insurance1628[Costo Real]</f>
        <v>0</v>
      </c>
      <c r="F39" s="3"/>
      <c r="G39" s="3" t="s">
        <v>54</v>
      </c>
      <c r="H39" s="40"/>
      <c r="I39" s="40"/>
      <c r="J39" s="4">
        <f>Pets1931[Costo Presupuestado]-Pets1931[Costo Real]</f>
        <v>0</v>
      </c>
      <c r="K39" s="19"/>
      <c r="L39" s="19"/>
    </row>
    <row r="40" spans="2:12" x14ac:dyDescent="0.25">
      <c r="B40" s="3" t="s">
        <v>47</v>
      </c>
      <c r="C40" s="40">
        <v>0</v>
      </c>
      <c r="D40" s="40">
        <v>0</v>
      </c>
      <c r="E40" s="4">
        <f>Insurance1628[Costo Presupuestado]-Insurance1628[Costo Real]</f>
        <v>0</v>
      </c>
      <c r="F40" s="3"/>
      <c r="G40" s="3" t="s">
        <v>55</v>
      </c>
      <c r="H40" s="40"/>
      <c r="I40" s="40"/>
      <c r="J40" s="4">
        <f>Pets1931[Costo Presupuestado]-Pets1931[Costo Real]</f>
        <v>0</v>
      </c>
      <c r="K40" s="19"/>
      <c r="L40" s="19"/>
    </row>
    <row r="41" spans="2:12" x14ac:dyDescent="0.25">
      <c r="B41" s="3" t="s">
        <v>48</v>
      </c>
      <c r="C41" s="40">
        <v>0</v>
      </c>
      <c r="D41" s="40">
        <v>0</v>
      </c>
      <c r="E41" s="4">
        <f>Insurance1628[Costo Presupuestado]-Insurance1628[Costo Real]</f>
        <v>0</v>
      </c>
      <c r="F41" s="3"/>
      <c r="G41" s="3" t="s">
        <v>56</v>
      </c>
      <c r="H41" s="40"/>
      <c r="I41" s="40"/>
      <c r="J41" s="4">
        <f>Pets1931[Costo Presupuestado]-Pets1931[Costo Real]</f>
        <v>0</v>
      </c>
      <c r="K41" s="19"/>
      <c r="L41" s="19"/>
    </row>
    <row r="42" spans="2:12" x14ac:dyDescent="0.25">
      <c r="B42" s="34" t="s">
        <v>3</v>
      </c>
      <c r="C42" s="41">
        <f>SUBTOTAL(109,Insurance1628[Costo Presupuestado])</f>
        <v>500</v>
      </c>
      <c r="D42" s="41">
        <f>SUBTOTAL(109,Insurance1628[Costo Real])</f>
        <v>500</v>
      </c>
      <c r="E42" s="41">
        <f>SUBTOTAL(109,Insurance1628[Diferencia])</f>
        <v>0</v>
      </c>
      <c r="F42" s="3"/>
      <c r="G42" s="34" t="s">
        <v>3</v>
      </c>
      <c r="H42" s="49">
        <f>SUBTOTAL(109,Pets1931[Costo Presupuestado])</f>
        <v>0</v>
      </c>
      <c r="I42" s="49">
        <f>SUBTOTAL(109,Pets1931[Costo Real])</f>
        <v>0</v>
      </c>
      <c r="J42" s="49">
        <f>SUBTOTAL(109,Pets1931[Diferencia])</f>
        <v>0</v>
      </c>
      <c r="K42" s="19"/>
      <c r="L42" s="19"/>
    </row>
    <row r="43" spans="2:12" ht="25.5" customHeight="1" x14ac:dyDescent="0.25">
      <c r="B43" s="37"/>
      <c r="C43" s="37"/>
      <c r="D43" s="37"/>
      <c r="E43" s="37"/>
      <c r="F43" s="3"/>
      <c r="K43" s="19"/>
      <c r="L43" s="19"/>
    </row>
    <row r="44" spans="2:12" ht="25.5" x14ac:dyDescent="0.25">
      <c r="B44" s="16" t="s">
        <v>26</v>
      </c>
      <c r="C44" s="13" t="s">
        <v>18</v>
      </c>
      <c r="D44" s="13" t="s">
        <v>19</v>
      </c>
      <c r="E44" s="13" t="s">
        <v>8</v>
      </c>
      <c r="F44" s="3"/>
      <c r="G44" s="32" t="s">
        <v>24</v>
      </c>
      <c r="H44" s="13" t="s">
        <v>18</v>
      </c>
      <c r="I44" s="13" t="s">
        <v>19</v>
      </c>
      <c r="J44" s="13" t="s">
        <v>8</v>
      </c>
      <c r="K44" s="19"/>
      <c r="L44" s="19"/>
    </row>
    <row r="45" spans="2:12" x14ac:dyDescent="0.25">
      <c r="B45" s="3" t="s">
        <v>57</v>
      </c>
      <c r="C45" s="40">
        <v>2000</v>
      </c>
      <c r="D45" s="40">
        <v>2500</v>
      </c>
      <c r="E45" s="4">
        <f>Food1729[Costo Presupuestado]-Food1729[Costo Real]</f>
        <v>-500</v>
      </c>
      <c r="F45" s="3"/>
      <c r="G45" s="3" t="s">
        <v>72</v>
      </c>
      <c r="H45" s="40"/>
      <c r="I45" s="40"/>
      <c r="J45" s="4">
        <f>PersonalCare2032[Costo Presupuestado]-PersonalCare2032[Costo Real]</f>
        <v>0</v>
      </c>
      <c r="K45" s="19"/>
      <c r="L45" s="19"/>
    </row>
    <row r="46" spans="2:12" x14ac:dyDescent="0.25">
      <c r="B46" s="3" t="s">
        <v>58</v>
      </c>
      <c r="C46" s="40">
        <v>4000</v>
      </c>
      <c r="D46" s="40">
        <v>3000</v>
      </c>
      <c r="E46" s="4">
        <f>Food1729[Costo Presupuestado]-Food1729[Costo Real]</f>
        <v>1000</v>
      </c>
      <c r="F46" s="3"/>
      <c r="G46" s="3" t="s">
        <v>73</v>
      </c>
      <c r="H46" s="40"/>
      <c r="I46" s="40"/>
      <c r="J46" s="4">
        <f>PersonalCare2032[Costo Presupuestado]-PersonalCare2032[Costo Real]</f>
        <v>0</v>
      </c>
      <c r="K46" s="19"/>
      <c r="L46" s="19"/>
    </row>
    <row r="47" spans="2:12" x14ac:dyDescent="0.25">
      <c r="B47" s="3" t="s">
        <v>56</v>
      </c>
      <c r="C47" s="40">
        <v>0</v>
      </c>
      <c r="D47" s="40">
        <v>0</v>
      </c>
      <c r="E47" s="4">
        <f>Food1729[Costo Presupuestado]-Food1729[Costo Real]</f>
        <v>0</v>
      </c>
      <c r="F47" s="3"/>
      <c r="G47" s="3" t="s">
        <v>74</v>
      </c>
      <c r="H47" s="40">
        <v>1000</v>
      </c>
      <c r="I47" s="40">
        <v>600</v>
      </c>
      <c r="J47" s="4">
        <f>PersonalCare2032[Costo Presupuestado]-PersonalCare2032[Costo Real]</f>
        <v>400</v>
      </c>
      <c r="K47" s="19"/>
      <c r="L47" s="19"/>
    </row>
    <row r="48" spans="2:12" x14ac:dyDescent="0.25">
      <c r="B48" s="34" t="s">
        <v>3</v>
      </c>
      <c r="C48" s="41">
        <f>SUBTOTAL(109,Food1729[Costo Presupuestado])</f>
        <v>6000</v>
      </c>
      <c r="D48" s="41">
        <f>SUBTOTAL(109,Food1729[Costo Real])</f>
        <v>5500</v>
      </c>
      <c r="E48" s="41">
        <f>SUBTOTAL(109,Food1729[Diferencia])</f>
        <v>500</v>
      </c>
      <c r="F48" s="3"/>
      <c r="G48" s="3" t="s">
        <v>75</v>
      </c>
      <c r="H48" s="40"/>
      <c r="I48" s="40"/>
      <c r="J48" s="4">
        <f>PersonalCare2032[Costo Presupuestado]-PersonalCare2032[Costo Real]</f>
        <v>0</v>
      </c>
      <c r="K48" s="19"/>
      <c r="L48" s="19"/>
    </row>
    <row r="49" spans="2:12" ht="25.5" customHeight="1" x14ac:dyDescent="0.25">
      <c r="B49" s="37"/>
      <c r="C49" s="37"/>
      <c r="D49" s="37"/>
      <c r="E49" s="37"/>
      <c r="F49" s="3"/>
      <c r="G49" s="3" t="s">
        <v>76</v>
      </c>
      <c r="H49" s="40"/>
      <c r="I49" s="40"/>
      <c r="J49" s="4">
        <f>PersonalCare2032[Costo Presupuestado]-PersonalCare2032[Costo Real]</f>
        <v>0</v>
      </c>
      <c r="K49" s="19"/>
      <c r="L49" s="19"/>
    </row>
    <row r="50" spans="2:12" ht="25.5" customHeight="1" x14ac:dyDescent="0.25">
      <c r="B50" s="16" t="s">
        <v>23</v>
      </c>
      <c r="C50" s="13" t="s">
        <v>18</v>
      </c>
      <c r="D50" s="13" t="s">
        <v>19</v>
      </c>
      <c r="E50" s="13" t="s">
        <v>8</v>
      </c>
      <c r="F50" s="3"/>
      <c r="G50" s="3" t="s">
        <v>64</v>
      </c>
      <c r="H50" s="40"/>
      <c r="I50" s="40"/>
      <c r="J50" s="4">
        <f>PersonalCare2032[Costo Presupuestado]-PersonalCare2032[Costo Real]</f>
        <v>0</v>
      </c>
      <c r="K50" s="19"/>
      <c r="L50" s="19"/>
    </row>
    <row r="51" spans="2:12" x14ac:dyDescent="0.25">
      <c r="B51" s="21" t="s">
        <v>65</v>
      </c>
      <c r="C51" s="40">
        <v>0</v>
      </c>
      <c r="D51" s="40">
        <v>0</v>
      </c>
      <c r="E51" s="4">
        <f>Children1830[Costo Presupuestado]-Children1830[Costo Real]</f>
        <v>0</v>
      </c>
      <c r="F51" s="3"/>
      <c r="G51" s="34" t="s">
        <v>3</v>
      </c>
      <c r="H51" s="49">
        <f>SUBTOTAL(109,PersonalCare2032[Costo Presupuestado])</f>
        <v>1000</v>
      </c>
      <c r="I51" s="49">
        <f>SUBTOTAL(109,PersonalCare2032[Costo Real])</f>
        <v>600</v>
      </c>
      <c r="J51" s="49">
        <f>SUBTOTAL(109,PersonalCare2032[Diferencia])</f>
        <v>400</v>
      </c>
      <c r="K51" s="19"/>
      <c r="L51" s="19"/>
    </row>
    <row r="52" spans="2:12" x14ac:dyDescent="0.25">
      <c r="B52" s="21" t="s">
        <v>74</v>
      </c>
      <c r="C52" s="40">
        <v>0</v>
      </c>
      <c r="D52" s="40">
        <v>0</v>
      </c>
      <c r="E52" s="4">
        <f>Children1830[Costo Presupuestado]-Children1830[Costo Real]</f>
        <v>0</v>
      </c>
      <c r="F52" s="3"/>
      <c r="K52" s="19"/>
      <c r="L52" s="19"/>
    </row>
    <row r="53" spans="2:12" ht="38.25" x14ac:dyDescent="0.25">
      <c r="B53" s="21" t="s">
        <v>59</v>
      </c>
      <c r="C53" s="40">
        <v>0</v>
      </c>
      <c r="D53" s="40">
        <v>0</v>
      </c>
      <c r="E53" s="4">
        <f>Children1830[Costo Presupuestado]-Children1830[Costo Real]</f>
        <v>0</v>
      </c>
      <c r="F53" s="3"/>
      <c r="G53" s="22" t="s">
        <v>22</v>
      </c>
      <c r="H53" s="13" t="s">
        <v>18</v>
      </c>
      <c r="I53" s="13" t="s">
        <v>19</v>
      </c>
      <c r="J53" s="13" t="s">
        <v>8</v>
      </c>
      <c r="K53" s="19"/>
      <c r="L53" s="19"/>
    </row>
    <row r="54" spans="2:12" ht="25.5" x14ac:dyDescent="0.25">
      <c r="B54" s="21" t="s">
        <v>60</v>
      </c>
      <c r="C54" s="40">
        <v>0</v>
      </c>
      <c r="D54" s="40">
        <v>0</v>
      </c>
      <c r="E54" s="4">
        <f>Children1830[Costo Presupuestado]-Children1830[Costo Real]</f>
        <v>0</v>
      </c>
      <c r="F54" s="3"/>
      <c r="G54" s="3" t="s">
        <v>5</v>
      </c>
      <c r="H54" s="40"/>
      <c r="I54" s="40"/>
      <c r="J54" s="4">
        <f>Loans2234[Costo Presupuestado]-Loans2234[Costo Real]</f>
        <v>0</v>
      </c>
      <c r="K54" s="19"/>
      <c r="L54" s="19"/>
    </row>
    <row r="55" spans="2:12" ht="25.5" x14ac:dyDescent="0.25">
      <c r="B55" s="21" t="s">
        <v>4</v>
      </c>
      <c r="C55" s="40">
        <v>0</v>
      </c>
      <c r="D55" s="40">
        <v>0</v>
      </c>
      <c r="E55" s="4">
        <f>Children1830[Costo Presupuestado]-Children1830[Costo Real]</f>
        <v>0</v>
      </c>
      <c r="F55" s="3"/>
      <c r="G55" s="3" t="s">
        <v>68</v>
      </c>
      <c r="H55" s="40"/>
      <c r="I55" s="40"/>
      <c r="J55" s="4">
        <f>Loans2234[Costo Presupuestado]-Loans2234[Costo Real]</f>
        <v>0</v>
      </c>
      <c r="K55" s="19"/>
      <c r="L55" s="19"/>
    </row>
    <row r="56" spans="2:12" ht="25.5" x14ac:dyDescent="0.25">
      <c r="B56" s="21" t="s">
        <v>61</v>
      </c>
      <c r="C56" s="40">
        <v>0</v>
      </c>
      <c r="D56" s="40">
        <v>0</v>
      </c>
      <c r="E56" s="4">
        <f>Children1830[Costo Presupuestado]-Children1830[Costo Real]</f>
        <v>0</v>
      </c>
      <c r="F56" s="3"/>
      <c r="G56" s="3" t="s">
        <v>69</v>
      </c>
      <c r="H56" s="40"/>
      <c r="I56" s="40"/>
      <c r="J56" s="4">
        <f>Loans2234[Costo Presupuestado]-Loans2234[Costo Real]</f>
        <v>0</v>
      </c>
      <c r="K56" s="19"/>
      <c r="L56" s="19"/>
    </row>
    <row r="57" spans="2:12" x14ac:dyDescent="0.25">
      <c r="B57" s="21" t="s">
        <v>62</v>
      </c>
      <c r="C57" s="40">
        <v>0</v>
      </c>
      <c r="D57" s="40">
        <v>0</v>
      </c>
      <c r="E57" s="4">
        <f>Children1830[Costo Presupuestado]-Children1830[Costo Real]</f>
        <v>0</v>
      </c>
      <c r="F57" s="3"/>
      <c r="G57" s="3" t="s">
        <v>70</v>
      </c>
      <c r="H57" s="40"/>
      <c r="I57" s="40"/>
      <c r="J57" s="4">
        <f>Loans2234[Costo Presupuestado]-Loans2234[Costo Real]</f>
        <v>0</v>
      </c>
      <c r="K57" s="19"/>
      <c r="L57" s="19"/>
    </row>
    <row r="58" spans="2:12" x14ac:dyDescent="0.25">
      <c r="B58" s="21" t="s">
        <v>63</v>
      </c>
      <c r="C58" s="40">
        <v>0</v>
      </c>
      <c r="D58" s="40">
        <v>0</v>
      </c>
      <c r="E58" s="4">
        <f>Children1830[Costo Presupuestado]-Children1830[Costo Real]</f>
        <v>0</v>
      </c>
      <c r="F58" s="3"/>
      <c r="G58" s="3" t="s">
        <v>71</v>
      </c>
      <c r="H58" s="40"/>
      <c r="I58" s="40"/>
      <c r="J58" s="4">
        <f>Loans2234[Costo Presupuestado]-Loans2234[Costo Real]</f>
        <v>0</v>
      </c>
      <c r="K58" s="19"/>
      <c r="L58" s="19"/>
    </row>
    <row r="59" spans="2:12" x14ac:dyDescent="0.25">
      <c r="B59" s="21" t="s">
        <v>64</v>
      </c>
      <c r="C59" s="40">
        <v>0</v>
      </c>
      <c r="D59" s="40">
        <v>0</v>
      </c>
      <c r="E59" s="4">
        <f>Children1830[Costo Presupuestado]-Children1830[Costo Real]</f>
        <v>0</v>
      </c>
      <c r="F59" s="3"/>
      <c r="G59" s="3" t="s">
        <v>64</v>
      </c>
      <c r="H59" s="40"/>
      <c r="I59" s="40"/>
      <c r="J59" s="4">
        <f>Loans2234[Costo Presupuestado]-Loans2234[Costo Real]</f>
        <v>0</v>
      </c>
      <c r="K59" s="19"/>
      <c r="L59" s="19"/>
    </row>
    <row r="60" spans="2:12" x14ac:dyDescent="0.25">
      <c r="B60" s="34" t="s">
        <v>3</v>
      </c>
      <c r="C60" s="41">
        <f>SUBTOTAL(109,Children1830[Costo Presupuestado])</f>
        <v>0</v>
      </c>
      <c r="D60" s="41">
        <f>SUBTOTAL(109,Children1830[Costo Real])</f>
        <v>0</v>
      </c>
      <c r="E60" s="41">
        <f>SUBTOTAL(109,Children1830[Diferencia])</f>
        <v>0</v>
      </c>
      <c r="F60" s="3"/>
      <c r="G60" s="34" t="s">
        <v>3</v>
      </c>
      <c r="H60" s="49">
        <f>SUBTOTAL(109,Loans2234[Costo Presupuestado])</f>
        <v>0</v>
      </c>
      <c r="I60" s="49">
        <f>SUBTOTAL(109,Loans2234[Costo Real])</f>
        <v>0</v>
      </c>
      <c r="J60" s="49">
        <f>SUBTOTAL(109,Loans2234[Diferencia])</f>
        <v>0</v>
      </c>
      <c r="K60" s="19"/>
      <c r="L60" s="19"/>
    </row>
    <row r="61" spans="2:12" x14ac:dyDescent="0.25">
      <c r="F61" s="3"/>
      <c r="K61" s="19"/>
      <c r="L61" s="19"/>
    </row>
    <row r="62" spans="2:12" ht="25.5" x14ac:dyDescent="0.25">
      <c r="F62" s="3"/>
      <c r="G62" s="15" t="s">
        <v>21</v>
      </c>
      <c r="H62" s="13" t="s">
        <v>18</v>
      </c>
      <c r="I62" s="13" t="s">
        <v>19</v>
      </c>
      <c r="J62" s="13" t="s">
        <v>8</v>
      </c>
      <c r="K62" s="19"/>
      <c r="L62" s="19"/>
    </row>
    <row r="63" spans="2:12" x14ac:dyDescent="0.25">
      <c r="F63" s="3"/>
      <c r="G63" s="3" t="s">
        <v>66</v>
      </c>
      <c r="H63" s="40"/>
      <c r="I63" s="40"/>
      <c r="J63" s="4">
        <f>Legal2537[Costo Presupuestado]-Legal2537[Costo Real]</f>
        <v>0</v>
      </c>
      <c r="K63" s="19"/>
      <c r="L63" s="19"/>
    </row>
    <row r="64" spans="2:12" x14ac:dyDescent="0.25">
      <c r="F64" s="3"/>
      <c r="G64" s="3" t="s">
        <v>67</v>
      </c>
      <c r="H64" s="40"/>
      <c r="I64" s="40"/>
      <c r="J64" s="4">
        <f>Legal2537[Costo Presupuestado]-Legal2537[Costo Real]</f>
        <v>0</v>
      </c>
      <c r="K64" s="19"/>
      <c r="L64" s="19"/>
    </row>
    <row r="65" spans="6:12" x14ac:dyDescent="0.25">
      <c r="F65" s="3"/>
      <c r="G65" s="3" t="s">
        <v>64</v>
      </c>
      <c r="H65" s="40"/>
      <c r="I65" s="40"/>
      <c r="J65" s="4">
        <f>Legal2537[Costo Presupuestado]-Legal2537[Costo Real]</f>
        <v>0</v>
      </c>
      <c r="K65" s="19"/>
      <c r="L65" s="19"/>
    </row>
    <row r="66" spans="6:12" x14ac:dyDescent="0.25">
      <c r="F66" s="3"/>
      <c r="G66" s="34" t="s">
        <v>3</v>
      </c>
      <c r="H66" s="41">
        <f>SUBTOTAL(109,Legal2537[Costo Presupuestado])</f>
        <v>0</v>
      </c>
      <c r="I66" s="41">
        <f>SUBTOTAL(109,Legal2537[Costo Real])</f>
        <v>0</v>
      </c>
      <c r="J66" s="41">
        <f>SUBTOTAL(109,Legal2537[Diferencia])</f>
        <v>0</v>
      </c>
      <c r="K66" s="19"/>
      <c r="L66" s="19"/>
    </row>
    <row r="67" spans="6:12" x14ac:dyDescent="0.25">
      <c r="F67" s="3"/>
      <c r="K67" s="19"/>
      <c r="L67" s="19"/>
    </row>
    <row r="68" spans="6:12" x14ac:dyDescent="0.25">
      <c r="F68" s="3"/>
      <c r="K68" s="19"/>
      <c r="L68" s="19"/>
    </row>
    <row r="69" spans="6:12" x14ac:dyDescent="0.25">
      <c r="F69" s="3"/>
      <c r="K69" s="19"/>
      <c r="L69" s="19"/>
    </row>
    <row r="70" spans="6:12" x14ac:dyDescent="0.25">
      <c r="K70" s="19"/>
      <c r="L70" s="19"/>
    </row>
  </sheetData>
  <mergeCells count="6">
    <mergeCell ref="B1:H1"/>
    <mergeCell ref="B3:C3"/>
    <mergeCell ref="G3:H3"/>
    <mergeCell ref="G9:H9"/>
    <mergeCell ref="Q11:R11"/>
    <mergeCell ref="Q17:R17"/>
  </mergeCells>
  <conditionalFormatting sqref="J54:J59 J37:J41 J31:J33 J21:J27 E15:E24 E51:E59 E45:E47 E38:E41 H17 E28:E34 J63:J65 J45:J50 E7:E11">
    <cfRule type="iconSet" priority="1">
      <iconSet iconSet="3Arrows">
        <cfvo type="percentile" val="0"/>
        <cfvo type="num" val="-50"/>
        <cfvo type="num" val="50"/>
      </iconSet>
    </cfRule>
  </conditionalFormatting>
  <conditionalFormatting sqref="E15:E24">
    <cfRule type="iconSet" priority="2">
      <iconSet iconSet="4Arrows">
        <cfvo type="percent" val="0"/>
        <cfvo type="percent" val="25"/>
        <cfvo type="percent" val="50"/>
        <cfvo type="percent" val="75"/>
      </iconSet>
    </cfRule>
  </conditionalFormatting>
  <pageMargins left="0.7" right="0.7" top="0.75" bottom="0.75" header="0.3" footer="0.3"/>
  <drawing r:id="rId1"/>
  <tableParts count="1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0"/>
  <sheetViews>
    <sheetView tabSelected="1" workbookViewId="0">
      <selection activeCell="M1" sqref="M1"/>
    </sheetView>
  </sheetViews>
  <sheetFormatPr defaultRowHeight="15" x14ac:dyDescent="0.25"/>
  <cols>
    <col min="1" max="1" width="5" style="17" customWidth="1"/>
    <col min="2" max="2" width="17.42578125" style="17" customWidth="1"/>
    <col min="3" max="3" width="17.5703125" style="17" bestFit="1" customWidth="1"/>
    <col min="4" max="4" width="14" style="17" bestFit="1" customWidth="1"/>
    <col min="5" max="5" width="13" style="17" customWidth="1"/>
    <col min="6" max="6" width="5.5703125" style="17" customWidth="1"/>
    <col min="7" max="7" width="15.42578125" style="17" customWidth="1"/>
    <col min="8" max="8" width="14.7109375" style="17" bestFit="1" customWidth="1"/>
    <col min="9" max="9" width="12" style="17" bestFit="1" customWidth="1"/>
    <col min="10" max="10" width="10.85546875" style="17" bestFit="1" customWidth="1"/>
    <col min="11" max="16384" width="9.140625" style="17"/>
  </cols>
  <sheetData>
    <row r="1" spans="1:18" ht="62.25" customHeight="1" x14ac:dyDescent="0.3">
      <c r="A1" s="19"/>
      <c r="B1" s="51"/>
      <c r="C1" s="51"/>
      <c r="D1" s="51"/>
      <c r="E1" s="51"/>
      <c r="F1" s="51"/>
      <c r="G1" s="51"/>
      <c r="H1" s="51"/>
      <c r="I1" s="1"/>
      <c r="J1" s="1"/>
      <c r="K1" s="19"/>
      <c r="L1" s="19"/>
    </row>
    <row r="2" spans="1:18" ht="18.75" customHeight="1" thickBot="1" x14ac:dyDescent="0.3">
      <c r="A2" s="19"/>
      <c r="B2" s="38"/>
      <c r="C2" s="38"/>
      <c r="D2" s="38"/>
      <c r="E2" s="38"/>
      <c r="F2" s="38"/>
      <c r="G2" s="38"/>
      <c r="H2" s="38"/>
      <c r="I2" s="38"/>
      <c r="J2" s="38"/>
      <c r="K2" s="19"/>
      <c r="L2" s="19"/>
    </row>
    <row r="3" spans="1:18" ht="26.25" thickBot="1" x14ac:dyDescent="0.3">
      <c r="B3" s="52" t="s">
        <v>6</v>
      </c>
      <c r="C3" s="53"/>
      <c r="D3" s="23" t="s">
        <v>7</v>
      </c>
      <c r="E3" s="24" t="s">
        <v>8</v>
      </c>
      <c r="F3" s="2"/>
      <c r="G3" s="54" t="s">
        <v>9</v>
      </c>
      <c r="H3" s="55"/>
      <c r="I3" s="2"/>
      <c r="J3" s="2"/>
      <c r="K3" s="19"/>
      <c r="L3" s="19"/>
      <c r="Q3" s="19"/>
      <c r="R3" s="19"/>
    </row>
    <row r="4" spans="1:18" ht="15.75" thickBot="1" x14ac:dyDescent="0.3">
      <c r="B4" s="25"/>
      <c r="C4" s="50">
        <f>Housing112638[[#Totals],[Costo Presupuestado]]+Transportation152739[[#Totals],[Costo Presupuestado]]+Insurance162840[[#Totals],[Costo Presupuestado]]+Food172941[[#Totals],[Costo Presupuestado]]+Children183042[[#Totals],[Costo Presupuestado]]+Legal253749[[#Totals],[Costo Presupuestado]]+Savings233547[[#Totals],[Costo Presupuestado]]+Loans223446[[#Totals],[Costo Presupuestado]]+Entertainment213345[[#Totals],[Costo Presupuestado]]+PersonalCare203244[[#Totals],[Costo Presupuestado]]+Pets193143[[#Totals],[Costo Presupuestado]]+Gifts243648[[#Totals],[Costo Presupuestado]]</f>
        <v>44250</v>
      </c>
      <c r="D4" s="50">
        <f>Housing112638[[#Totals],[Costo Real]]+Transportation152739[[#Totals],[Costo Real]]+Insurance162840[[#Totals],[Costo Real]]+Food172941[[#Totals],[Costo Real]]+Children183042[[#Totals],[Costo Real]]+Legal253749[[#Totals],[Costo Real]]+Savings233547[[#Totals],[Costo Real]]+Loans223446[[#Totals],[Costo Real]]+Entertainment213345[[#Totals],[Costo Real]]+PersonalCare203244[[#Totals],[Costo Real]]+Pets193143[[#Totals],[Costo Real]]+Gifts243648[[#Totals],[Costo Real]]</f>
        <v>39844</v>
      </c>
      <c r="E4" s="45">
        <f>Housing112638[[#Totals],[Diferencia]]+Transportation152739[[#Totals],[Diferencia]]+Insurance162840[[#Totals],[Diferencia]]+Food172941[[#Totals],[Diferencia]]+Children183042[[#Totals],[Diferencia]]+Legal253749[[#Totals],[Diferencia]]+Savings233547[[#Totals],[Diferencia]]+Loans223446[[#Totals],[Diferencia]]+Entertainment213345[[#Totals],[Diferencia]]+PersonalCare203244[[#Totals],[Diferencia]]+Pets193143[[#Totals],[Diferencia]]+Gifts243648[[#Totals],[Diferencia]]</f>
        <v>4406</v>
      </c>
      <c r="F4" s="2"/>
      <c r="G4" s="39" t="s">
        <v>10</v>
      </c>
      <c r="H4" s="48">
        <v>50000</v>
      </c>
      <c r="I4" s="2"/>
      <c r="J4" s="2"/>
      <c r="K4" s="19"/>
      <c r="L4" s="19"/>
      <c r="Q4" s="19"/>
      <c r="R4" s="19"/>
    </row>
    <row r="5" spans="1:18" ht="25.5" x14ac:dyDescent="0.25">
      <c r="F5" s="3"/>
      <c r="G5" s="26" t="s">
        <v>11</v>
      </c>
      <c r="H5" s="46">
        <v>5000</v>
      </c>
      <c r="I5" s="3"/>
      <c r="J5" s="3"/>
      <c r="K5" s="19"/>
      <c r="L5" s="19"/>
      <c r="Q5" s="19"/>
      <c r="R5" s="19"/>
    </row>
    <row r="6" spans="1:18" ht="25.5" x14ac:dyDescent="0.25">
      <c r="B6" s="33" t="s">
        <v>20</v>
      </c>
      <c r="C6" s="13" t="s">
        <v>18</v>
      </c>
      <c r="D6" s="13" t="s">
        <v>19</v>
      </c>
      <c r="E6" s="13" t="s">
        <v>8</v>
      </c>
      <c r="F6" s="3"/>
      <c r="G6" s="26" t="s">
        <v>12</v>
      </c>
      <c r="H6" s="46">
        <v>0</v>
      </c>
      <c r="I6" s="3"/>
      <c r="J6" s="3"/>
      <c r="K6" s="19"/>
      <c r="L6" s="19"/>
      <c r="Q6" s="19"/>
      <c r="R6" s="19"/>
    </row>
    <row r="7" spans="1:18" ht="26.25" thickBot="1" x14ac:dyDescent="0.3">
      <c r="B7" s="3" t="s">
        <v>77</v>
      </c>
      <c r="C7" s="40">
        <v>5000</v>
      </c>
      <c r="D7" s="40">
        <v>5000</v>
      </c>
      <c r="E7" s="40">
        <f>Savings233547[Costo Presupuestado]-Savings233547[Costo Real]</f>
        <v>0</v>
      </c>
      <c r="F7" s="3"/>
      <c r="G7" s="27" t="s">
        <v>13</v>
      </c>
      <c r="H7" s="47">
        <f>SUM(H4:H6)</f>
        <v>55000</v>
      </c>
      <c r="I7" s="3"/>
      <c r="J7" s="3"/>
      <c r="K7" s="19"/>
      <c r="L7" s="19"/>
      <c r="Q7" s="19"/>
      <c r="R7" s="19"/>
    </row>
    <row r="8" spans="1:18" ht="15.75" thickBot="1" x14ac:dyDescent="0.3">
      <c r="B8" s="3" t="s">
        <v>78</v>
      </c>
      <c r="C8" s="40"/>
      <c r="D8" s="40"/>
      <c r="E8" s="40">
        <f>Savings233547[Costo Presupuestado]-Savings233547[Costo Real]</f>
        <v>0</v>
      </c>
      <c r="F8" s="3"/>
      <c r="G8" s="5"/>
      <c r="H8" s="6"/>
      <c r="I8" s="18"/>
      <c r="J8" s="18"/>
      <c r="K8" s="19"/>
      <c r="L8" s="19"/>
      <c r="Q8" s="19"/>
      <c r="R8" s="19"/>
    </row>
    <row r="9" spans="1:18" ht="25.5" x14ac:dyDescent="0.25">
      <c r="B9" s="3" t="s">
        <v>81</v>
      </c>
      <c r="C9" s="40"/>
      <c r="D9" s="40"/>
      <c r="E9" s="40">
        <f>Savings233547[Costo Presupuestado]-Savings233547[Costo Real]</f>
        <v>0</v>
      </c>
      <c r="F9" s="3"/>
      <c r="G9" s="56" t="s">
        <v>14</v>
      </c>
      <c r="H9" s="57"/>
      <c r="I9" s="3"/>
      <c r="J9" s="3"/>
      <c r="K9" s="19" t="s">
        <v>0</v>
      </c>
      <c r="L9" s="19"/>
      <c r="Q9" s="19"/>
      <c r="R9" s="19"/>
    </row>
    <row r="10" spans="1:18" x14ac:dyDescent="0.25">
      <c r="B10" s="36" t="s">
        <v>80</v>
      </c>
      <c r="C10" s="42"/>
      <c r="D10" s="42"/>
      <c r="E10" s="40">
        <f>Savings233547[Costo Presupuestado]-Savings233547[Costo Real]</f>
        <v>0</v>
      </c>
      <c r="F10" s="3"/>
      <c r="G10" s="26" t="s">
        <v>10</v>
      </c>
      <c r="H10" s="46">
        <v>48000</v>
      </c>
      <c r="I10" s="3"/>
      <c r="J10" s="3"/>
      <c r="K10" s="19"/>
      <c r="L10" s="19"/>
      <c r="Q10" s="19"/>
      <c r="R10" s="19"/>
    </row>
    <row r="11" spans="1:18" ht="25.5" x14ac:dyDescent="0.25">
      <c r="B11" s="3" t="s">
        <v>79</v>
      </c>
      <c r="C11" s="40"/>
      <c r="D11" s="40"/>
      <c r="E11" s="40">
        <f>Savings233547[Costo Presupuestado]-Savings233547[Costo Real]</f>
        <v>0</v>
      </c>
      <c r="F11" s="3"/>
      <c r="G11" s="26" t="s">
        <v>11</v>
      </c>
      <c r="H11" s="46">
        <v>4500</v>
      </c>
      <c r="I11" s="3"/>
      <c r="J11" s="3"/>
      <c r="K11" s="19"/>
      <c r="L11" s="19"/>
      <c r="Q11" s="58"/>
      <c r="R11" s="58"/>
    </row>
    <row r="12" spans="1:18" x14ac:dyDescent="0.25">
      <c r="B12" s="34" t="s">
        <v>3</v>
      </c>
      <c r="C12" s="41">
        <f>SUBTOTAL(109,Savings233547[Costo Presupuestado])</f>
        <v>5000</v>
      </c>
      <c r="D12" s="41">
        <f>SUBTOTAL(109,Savings233547[Costo Real])</f>
        <v>5000</v>
      </c>
      <c r="E12" s="41">
        <f>SUBTOTAL(109,Savings233547[Diferencia])</f>
        <v>0</v>
      </c>
      <c r="F12" s="3"/>
      <c r="G12" s="26" t="s">
        <v>12</v>
      </c>
      <c r="H12" s="46">
        <v>0</v>
      </c>
      <c r="I12" s="3"/>
      <c r="J12" s="3"/>
      <c r="K12" s="19"/>
      <c r="L12" s="19"/>
      <c r="Q12" s="7"/>
      <c r="R12" s="8"/>
    </row>
    <row r="13" spans="1:18" ht="26.25" thickBot="1" x14ac:dyDescent="0.3">
      <c r="F13" s="3"/>
      <c r="G13" s="27" t="s">
        <v>13</v>
      </c>
      <c r="H13" s="47">
        <f>SUM(H10:H12)</f>
        <v>52500</v>
      </c>
      <c r="I13" s="3"/>
      <c r="J13" s="3"/>
      <c r="K13" s="19"/>
      <c r="L13" s="19"/>
      <c r="Q13" s="7"/>
      <c r="R13" s="8"/>
    </row>
    <row r="14" spans="1:18" ht="26.25" thickBot="1" x14ac:dyDescent="0.3">
      <c r="B14" s="12" t="s">
        <v>17</v>
      </c>
      <c r="C14" s="13" t="s">
        <v>18</v>
      </c>
      <c r="D14" s="13" t="s">
        <v>19</v>
      </c>
      <c r="E14" s="13" t="s">
        <v>8</v>
      </c>
      <c r="F14" s="3"/>
      <c r="G14" s="2"/>
      <c r="H14" s="2"/>
      <c r="I14" s="3"/>
      <c r="J14" s="3"/>
      <c r="K14" s="19"/>
      <c r="L14" s="19"/>
      <c r="Q14" s="7"/>
      <c r="R14" s="8"/>
    </row>
    <row r="15" spans="1:18" ht="25.5" x14ac:dyDescent="0.25">
      <c r="B15" s="3" t="s">
        <v>36</v>
      </c>
      <c r="C15" s="40">
        <v>16000</v>
      </c>
      <c r="D15" s="40">
        <v>16000</v>
      </c>
      <c r="E15" s="4">
        <f>Housing112638[Costo Presupuestado]-Housing112638[Costo Real]</f>
        <v>0</v>
      </c>
      <c r="F15" s="3"/>
      <c r="G15" s="29" t="s">
        <v>15</v>
      </c>
      <c r="H15" s="43">
        <f>SUM(H7-C4)</f>
        <v>10750</v>
      </c>
      <c r="I15" s="3"/>
      <c r="J15" s="3"/>
      <c r="K15" s="19"/>
      <c r="L15" s="19"/>
      <c r="Q15" s="7"/>
      <c r="R15" s="8"/>
    </row>
    <row r="16" spans="1:18" ht="25.5" customHeight="1" x14ac:dyDescent="0.25">
      <c r="B16" s="3" t="s">
        <v>37</v>
      </c>
      <c r="C16" s="40">
        <v>0</v>
      </c>
      <c r="D16" s="40">
        <v>0</v>
      </c>
      <c r="E16" s="4">
        <f>Housing112638[Costo Presupuestado]-Housing112638[Costo Real]</f>
        <v>0</v>
      </c>
      <c r="F16" s="3"/>
      <c r="G16" s="30" t="s">
        <v>16</v>
      </c>
      <c r="H16" s="44">
        <f>SUM(H13-D4)</f>
        <v>12656</v>
      </c>
      <c r="I16" s="3"/>
      <c r="J16" s="3"/>
      <c r="K16" s="19"/>
      <c r="L16" s="19"/>
      <c r="Q16" s="10"/>
      <c r="R16" s="2"/>
    </row>
    <row r="17" spans="2:18" ht="15.75" thickBot="1" x14ac:dyDescent="0.3">
      <c r="B17" s="3" t="s">
        <v>38</v>
      </c>
      <c r="C17" s="40">
        <v>0</v>
      </c>
      <c r="D17" s="40">
        <v>0</v>
      </c>
      <c r="E17" s="4">
        <f>Housing112638[Costo Presupuestado]-Housing112638[Costo Real]</f>
        <v>0</v>
      </c>
      <c r="F17" s="3"/>
      <c r="G17" s="31" t="s">
        <v>8</v>
      </c>
      <c r="H17" s="45">
        <f>SUM(H16-H15)</f>
        <v>1906</v>
      </c>
      <c r="I17" s="3"/>
      <c r="J17" s="3"/>
      <c r="K17" s="19"/>
      <c r="L17" s="19"/>
      <c r="Q17" s="58"/>
      <c r="R17" s="58"/>
    </row>
    <row r="18" spans="2:18" x14ac:dyDescent="0.25">
      <c r="B18" s="3" t="s">
        <v>31</v>
      </c>
      <c r="C18" s="40">
        <v>200</v>
      </c>
      <c r="D18" s="40">
        <v>200</v>
      </c>
      <c r="E18" s="4">
        <f>Housing112638[Costo Presupuestado]-Housing112638[Costo Real]</f>
        <v>0</v>
      </c>
      <c r="F18" s="3"/>
      <c r="G18" s="3"/>
      <c r="H18" s="3"/>
      <c r="I18" s="3"/>
      <c r="J18" s="3"/>
      <c r="K18" s="19"/>
      <c r="L18" s="19"/>
      <c r="Q18" s="7"/>
      <c r="R18" s="8"/>
    </row>
    <row r="19" spans="2:18" x14ac:dyDescent="0.25">
      <c r="B19" s="3" t="s">
        <v>32</v>
      </c>
      <c r="C19" s="40">
        <v>100</v>
      </c>
      <c r="D19" s="40">
        <v>100</v>
      </c>
      <c r="E19" s="4">
        <f>Housing112638[Costo Presupuestado]-Housing112638[Costo Real]</f>
        <v>0</v>
      </c>
      <c r="F19" s="3"/>
      <c r="G19" s="18"/>
      <c r="H19" s="18"/>
      <c r="I19" s="18"/>
      <c r="J19" s="18"/>
      <c r="K19" s="19"/>
      <c r="L19" s="19"/>
      <c r="Q19" s="7"/>
      <c r="R19" s="8"/>
    </row>
    <row r="20" spans="2:18" ht="25.5" x14ac:dyDescent="0.25">
      <c r="B20" s="3" t="s">
        <v>33</v>
      </c>
      <c r="C20" s="40">
        <v>0</v>
      </c>
      <c r="D20" s="40">
        <v>0</v>
      </c>
      <c r="E20" s="4">
        <f>Housing112638[Costo Presupuestado]-Housing112638[Costo Real]</f>
        <v>0</v>
      </c>
      <c r="F20" s="3"/>
      <c r="G20" s="14" t="s">
        <v>29</v>
      </c>
      <c r="H20" s="13" t="s">
        <v>18</v>
      </c>
      <c r="I20" s="13" t="s">
        <v>19</v>
      </c>
      <c r="J20" s="13" t="s">
        <v>8</v>
      </c>
      <c r="K20" s="19"/>
      <c r="L20" s="19"/>
      <c r="Q20" s="7"/>
      <c r="R20" s="8"/>
    </row>
    <row r="21" spans="2:18" ht="25.5" x14ac:dyDescent="0.25">
      <c r="B21" s="3" t="s">
        <v>1</v>
      </c>
      <c r="C21" s="40">
        <v>1000</v>
      </c>
      <c r="D21" s="40">
        <v>900</v>
      </c>
      <c r="E21" s="4">
        <f>Housing112638[Costo Presupuestado]-Housing112638[Costo Real]</f>
        <v>100</v>
      </c>
      <c r="F21" s="3"/>
      <c r="G21" s="3" t="s">
        <v>87</v>
      </c>
      <c r="H21" s="40">
        <v>0</v>
      </c>
      <c r="I21" s="40">
        <v>0</v>
      </c>
      <c r="J21" s="4">
        <f>Entertainment213345[Costo Presupuestado]-Entertainment213345[Costo Real]</f>
        <v>0</v>
      </c>
      <c r="K21" s="19"/>
      <c r="L21" s="19"/>
      <c r="Q21" s="7"/>
      <c r="R21" s="8"/>
    </row>
    <row r="22" spans="2:18" ht="25.5" customHeight="1" x14ac:dyDescent="0.25">
      <c r="B22" s="3" t="s">
        <v>2</v>
      </c>
      <c r="C22" s="40">
        <v>450</v>
      </c>
      <c r="D22" s="40">
        <v>400</v>
      </c>
      <c r="E22" s="4">
        <f>Housing112638[Costo Presupuestado]-Housing112638[Costo Real]</f>
        <v>50</v>
      </c>
      <c r="F22" s="3"/>
      <c r="G22" s="3" t="s">
        <v>86</v>
      </c>
      <c r="H22" s="40">
        <v>5000</v>
      </c>
      <c r="I22" s="40">
        <v>4000</v>
      </c>
      <c r="J22" s="4">
        <f>Entertainment213345[Costo Presupuestado]-Entertainment213345[Costo Real]</f>
        <v>1000</v>
      </c>
      <c r="K22" s="19"/>
      <c r="L22" s="19"/>
      <c r="Q22" s="2"/>
      <c r="R22" s="2"/>
    </row>
    <row r="23" spans="2:18" x14ac:dyDescent="0.25">
      <c r="B23" s="3" t="s">
        <v>34</v>
      </c>
      <c r="C23" s="40">
        <v>1800</v>
      </c>
      <c r="D23" s="40">
        <v>1600</v>
      </c>
      <c r="E23" s="9">
        <f>Housing112638[Costo Presupuestado]-Housing112638[Costo Real]</f>
        <v>200</v>
      </c>
      <c r="F23" s="3"/>
      <c r="G23" s="3" t="s">
        <v>82</v>
      </c>
      <c r="H23" s="40">
        <v>700</v>
      </c>
      <c r="I23" s="40">
        <v>1000</v>
      </c>
      <c r="J23" s="4">
        <f>Entertainment213345[Costo Presupuestado]-Entertainment213345[Costo Real]</f>
        <v>-300</v>
      </c>
      <c r="K23" s="19"/>
      <c r="L23" s="19"/>
      <c r="Q23" s="20"/>
      <c r="R23" s="11"/>
    </row>
    <row r="24" spans="2:18" x14ac:dyDescent="0.25">
      <c r="B24" s="3" t="s">
        <v>35</v>
      </c>
      <c r="C24" s="40">
        <v>500</v>
      </c>
      <c r="D24" s="40">
        <v>44</v>
      </c>
      <c r="E24" s="4">
        <f>Housing112638[Costo Presupuestado]-Housing112638[Costo Real]</f>
        <v>456</v>
      </c>
      <c r="F24" s="3"/>
      <c r="G24" s="3" t="s">
        <v>83</v>
      </c>
      <c r="H24" s="40">
        <v>0</v>
      </c>
      <c r="I24" s="40">
        <v>0</v>
      </c>
      <c r="J24" s="4">
        <f>Entertainment213345[Costo Presupuestado]-Entertainment213345[Costo Real]</f>
        <v>0</v>
      </c>
      <c r="K24" s="19"/>
      <c r="L24" s="19"/>
    </row>
    <row r="25" spans="2:18" ht="25.5" x14ac:dyDescent="0.25">
      <c r="B25" s="21" t="s">
        <v>3</v>
      </c>
      <c r="C25" s="40">
        <f>SUBTOTAL(109,Housing112638[Costo Presupuestado])</f>
        <v>20050</v>
      </c>
      <c r="D25" s="40">
        <f>SUBTOTAL(109,Housing112638[Costo Real])</f>
        <v>19244</v>
      </c>
      <c r="E25" s="40">
        <f>SUBTOTAL(109,Housing112638[Diferencia])</f>
        <v>806</v>
      </c>
      <c r="F25" s="3"/>
      <c r="G25" s="3" t="s">
        <v>84</v>
      </c>
      <c r="H25" s="40">
        <v>0</v>
      </c>
      <c r="I25" s="40">
        <v>0</v>
      </c>
      <c r="J25" s="4">
        <f>Entertainment213345[Costo Presupuestado]-Entertainment213345[Costo Real]</f>
        <v>0</v>
      </c>
      <c r="K25" s="19"/>
      <c r="L25" s="19"/>
    </row>
    <row r="26" spans="2:18" x14ac:dyDescent="0.25">
      <c r="B26" s="37"/>
      <c r="C26" s="37"/>
      <c r="D26" s="37"/>
      <c r="E26" s="37"/>
      <c r="F26" s="3"/>
      <c r="G26" s="3" t="s">
        <v>85</v>
      </c>
      <c r="H26" s="40">
        <v>0</v>
      </c>
      <c r="I26" s="40">
        <v>0</v>
      </c>
      <c r="J26" s="4">
        <f>Entertainment213345[Costo Presupuestado]-Entertainment213345[Costo Real]</f>
        <v>0</v>
      </c>
      <c r="K26" s="19"/>
      <c r="L26" s="19"/>
    </row>
    <row r="27" spans="2:18" ht="25.5" x14ac:dyDescent="0.25">
      <c r="B27" s="28" t="s">
        <v>30</v>
      </c>
      <c r="C27" s="13" t="s">
        <v>18</v>
      </c>
      <c r="D27" s="13" t="s">
        <v>19</v>
      </c>
      <c r="E27" s="13" t="s">
        <v>8</v>
      </c>
      <c r="F27" s="3"/>
      <c r="G27" s="3" t="s">
        <v>64</v>
      </c>
      <c r="H27" s="40"/>
      <c r="I27" s="40"/>
      <c r="J27" s="4">
        <f>Entertainment213345[Costo Presupuestado]-Entertainment213345[Costo Real]</f>
        <v>0</v>
      </c>
      <c r="K27" s="19"/>
      <c r="L27" s="19"/>
    </row>
    <row r="28" spans="2:18" ht="25.5" x14ac:dyDescent="0.25">
      <c r="B28" s="3" t="s">
        <v>43</v>
      </c>
      <c r="C28" s="40">
        <v>0</v>
      </c>
      <c r="D28" s="40">
        <v>0</v>
      </c>
      <c r="E28" s="4">
        <f>Transportation152739[Costo Presupuestado]-Transportation152739[Costo Real]</f>
        <v>0</v>
      </c>
      <c r="F28" s="3"/>
      <c r="G28" s="34" t="s">
        <v>3</v>
      </c>
      <c r="H28" s="35">
        <f>SUBTOTAL(109,Entertainment213345[Costo Presupuestado])</f>
        <v>5700</v>
      </c>
      <c r="I28" s="35">
        <f>SUBTOTAL(109,Entertainment213345[Costo Real])</f>
        <v>5000</v>
      </c>
      <c r="J28" s="35">
        <f>SUBTOTAL(109,Entertainment213345[Diferencia])</f>
        <v>700</v>
      </c>
      <c r="K28" s="19"/>
      <c r="L28" s="19"/>
    </row>
    <row r="29" spans="2:18" ht="25.5" x14ac:dyDescent="0.25">
      <c r="B29" s="3" t="s">
        <v>44</v>
      </c>
      <c r="C29" s="40">
        <v>0</v>
      </c>
      <c r="D29" s="40">
        <v>0</v>
      </c>
      <c r="E29" s="4">
        <f>Transportation152739[Costo Presupuestado]-Transportation152739[Costo Real]</f>
        <v>0</v>
      </c>
      <c r="F29" s="3"/>
      <c r="K29" s="19"/>
      <c r="L29" s="19"/>
    </row>
    <row r="30" spans="2:18" ht="25.5" x14ac:dyDescent="0.25">
      <c r="B30" s="3" t="s">
        <v>39</v>
      </c>
      <c r="C30" s="40">
        <v>0</v>
      </c>
      <c r="D30" s="40">
        <v>0</v>
      </c>
      <c r="E30" s="4">
        <f>Transportation152739[Costo Presupuestado]-Transportation152739[Costo Real]</f>
        <v>0</v>
      </c>
      <c r="F30" s="3"/>
      <c r="G30" s="15" t="s">
        <v>28</v>
      </c>
      <c r="H30" s="13" t="s">
        <v>18</v>
      </c>
      <c r="I30" s="13" t="s">
        <v>19</v>
      </c>
      <c r="J30" s="13" t="s">
        <v>8</v>
      </c>
      <c r="K30" s="19"/>
      <c r="L30" s="19"/>
    </row>
    <row r="31" spans="2:18" x14ac:dyDescent="0.25">
      <c r="B31" s="3" t="s">
        <v>40</v>
      </c>
      <c r="C31" s="40">
        <v>6000</v>
      </c>
      <c r="D31" s="40">
        <v>4000</v>
      </c>
      <c r="E31" s="4">
        <f>Transportation152739[Costo Presupuestado]-Transportation152739[Costo Real]</f>
        <v>2000</v>
      </c>
      <c r="F31" s="3"/>
      <c r="G31" s="3" t="s">
        <v>49</v>
      </c>
      <c r="H31" s="40"/>
      <c r="I31" s="40">
        <v>0</v>
      </c>
      <c r="J31" s="4">
        <f>Gifts243648[Costo Presupuestado]-Gifts243648[Costo Real]</f>
        <v>0</v>
      </c>
      <c r="K31" s="19"/>
      <c r="L31" s="19"/>
    </row>
    <row r="32" spans="2:18" x14ac:dyDescent="0.25">
      <c r="B32" s="3" t="s">
        <v>41</v>
      </c>
      <c r="C32" s="40">
        <v>0</v>
      </c>
      <c r="D32" s="40">
        <v>0</v>
      </c>
      <c r="E32" s="4">
        <f>Transportation152739[Costo Presupuestado]-Transportation152739[Costo Real]</f>
        <v>0</v>
      </c>
      <c r="F32" s="3"/>
      <c r="G32" s="3" t="s">
        <v>50</v>
      </c>
      <c r="H32" s="40"/>
      <c r="I32" s="40"/>
      <c r="J32" s="4">
        <f>Gifts243648[Costo Presupuestado]-Gifts243648[Costo Real]</f>
        <v>0</v>
      </c>
      <c r="K32" s="19"/>
      <c r="L32" s="19"/>
    </row>
    <row r="33" spans="2:12" x14ac:dyDescent="0.25">
      <c r="B33" s="3" t="s">
        <v>42</v>
      </c>
      <c r="C33" s="40">
        <v>0</v>
      </c>
      <c r="D33" s="40">
        <v>0</v>
      </c>
      <c r="E33" s="4">
        <f>Transportation152739[Costo Presupuestado]-Transportation152739[Costo Real]</f>
        <v>0</v>
      </c>
      <c r="F33" s="3"/>
      <c r="G33" s="3" t="s">
        <v>51</v>
      </c>
      <c r="H33" s="40"/>
      <c r="I33" s="40"/>
      <c r="J33" s="4">
        <f>Gifts243648[Costo Presupuestado]-Gifts243648[Costo Real]</f>
        <v>0</v>
      </c>
      <c r="K33" s="19"/>
      <c r="L33" s="19"/>
    </row>
    <row r="34" spans="2:12" x14ac:dyDescent="0.25">
      <c r="B34" s="3" t="s">
        <v>38</v>
      </c>
      <c r="C34" s="40">
        <v>0</v>
      </c>
      <c r="D34" s="40">
        <v>0</v>
      </c>
      <c r="E34" s="4">
        <f>Transportation152739[Costo Presupuestado]-Transportation152739[Costo Real]</f>
        <v>0</v>
      </c>
      <c r="F34" s="3"/>
      <c r="G34" s="34" t="s">
        <v>3</v>
      </c>
      <c r="H34" s="41">
        <f>SUBTOTAL(109,Gifts243648[Costo Presupuestado])</f>
        <v>0</v>
      </c>
      <c r="I34" s="41">
        <f>SUBTOTAL(109,Gifts243648[Costo Real])</f>
        <v>0</v>
      </c>
      <c r="J34" s="41">
        <f>SUBTOTAL(109,Gifts243648[Diferencia])</f>
        <v>0</v>
      </c>
      <c r="K34" s="19"/>
      <c r="L34" s="19"/>
    </row>
    <row r="35" spans="2:12" x14ac:dyDescent="0.25">
      <c r="B35" s="34" t="s">
        <v>3</v>
      </c>
      <c r="C35" s="41">
        <f>SUBTOTAL(109,Transportation152739[Costo Presupuestado])</f>
        <v>6000</v>
      </c>
      <c r="D35" s="41">
        <f>SUBTOTAL(109,Transportation152739[Costo Real])</f>
        <v>4000</v>
      </c>
      <c r="E35" s="41">
        <f>SUBTOTAL(109,Transportation152739[Diferencia])</f>
        <v>2000</v>
      </c>
      <c r="F35" s="3"/>
      <c r="K35" s="19"/>
      <c r="L35" s="19"/>
    </row>
    <row r="36" spans="2:12" ht="25.5" x14ac:dyDescent="0.25">
      <c r="B36" s="37"/>
      <c r="C36" s="37"/>
      <c r="D36" s="37"/>
      <c r="E36" s="37"/>
      <c r="F36" s="3"/>
      <c r="G36" s="32" t="s">
        <v>25</v>
      </c>
      <c r="H36" s="13" t="s">
        <v>18</v>
      </c>
      <c r="I36" s="13" t="s">
        <v>19</v>
      </c>
      <c r="J36" s="13" t="s">
        <v>8</v>
      </c>
      <c r="K36" s="19"/>
      <c r="L36" s="19"/>
    </row>
    <row r="37" spans="2:12" ht="25.5" x14ac:dyDescent="0.25">
      <c r="B37" s="16" t="s">
        <v>27</v>
      </c>
      <c r="C37" s="13" t="s">
        <v>18</v>
      </c>
      <c r="D37" s="13" t="s">
        <v>19</v>
      </c>
      <c r="E37" s="13" t="s">
        <v>8</v>
      </c>
      <c r="F37" s="3"/>
      <c r="G37" s="3" t="s">
        <v>52</v>
      </c>
      <c r="H37" s="40"/>
      <c r="I37" s="40"/>
      <c r="J37" s="4">
        <f>Pets193143[Costo Presupuestado]-Pets193143[Costo Real]</f>
        <v>0</v>
      </c>
      <c r="K37" s="19"/>
      <c r="L37" s="19"/>
    </row>
    <row r="38" spans="2:12" x14ac:dyDescent="0.25">
      <c r="B38" s="3" t="s">
        <v>45</v>
      </c>
      <c r="C38" s="40">
        <v>0</v>
      </c>
      <c r="D38" s="40">
        <v>0</v>
      </c>
      <c r="E38" s="4">
        <f>Insurance162840[Costo Presupuestado]-Insurance162840[Costo Real]</f>
        <v>0</v>
      </c>
      <c r="F38" s="3"/>
      <c r="G38" s="3" t="s">
        <v>53</v>
      </c>
      <c r="H38" s="40"/>
      <c r="I38" s="40"/>
      <c r="J38" s="4">
        <f>Pets193143[Costo Presupuestado]-Pets193143[Costo Real]</f>
        <v>0</v>
      </c>
      <c r="K38" s="19"/>
      <c r="L38" s="19"/>
    </row>
    <row r="39" spans="2:12" x14ac:dyDescent="0.25">
      <c r="B39" s="3" t="s">
        <v>46</v>
      </c>
      <c r="C39" s="40">
        <v>500</v>
      </c>
      <c r="D39" s="40">
        <v>500</v>
      </c>
      <c r="E39" s="4">
        <f>Insurance162840[Costo Presupuestado]-Insurance162840[Costo Real]</f>
        <v>0</v>
      </c>
      <c r="F39" s="3"/>
      <c r="G39" s="3" t="s">
        <v>54</v>
      </c>
      <c r="H39" s="40"/>
      <c r="I39" s="40"/>
      <c r="J39" s="4">
        <f>Pets193143[Costo Presupuestado]-Pets193143[Costo Real]</f>
        <v>0</v>
      </c>
      <c r="K39" s="19"/>
      <c r="L39" s="19"/>
    </row>
    <row r="40" spans="2:12" x14ac:dyDescent="0.25">
      <c r="B40" s="3" t="s">
        <v>47</v>
      </c>
      <c r="C40" s="40">
        <v>0</v>
      </c>
      <c r="D40" s="40">
        <v>0</v>
      </c>
      <c r="E40" s="4">
        <f>Insurance162840[Costo Presupuestado]-Insurance162840[Costo Real]</f>
        <v>0</v>
      </c>
      <c r="F40" s="3"/>
      <c r="G40" s="3" t="s">
        <v>55</v>
      </c>
      <c r="H40" s="40"/>
      <c r="I40" s="40"/>
      <c r="J40" s="4">
        <f>Pets193143[Costo Presupuestado]-Pets193143[Costo Real]</f>
        <v>0</v>
      </c>
      <c r="K40" s="19"/>
      <c r="L40" s="19"/>
    </row>
    <row r="41" spans="2:12" x14ac:dyDescent="0.25">
      <c r="B41" s="3" t="s">
        <v>48</v>
      </c>
      <c r="C41" s="40">
        <v>0</v>
      </c>
      <c r="D41" s="40">
        <v>0</v>
      </c>
      <c r="E41" s="4">
        <f>Insurance162840[Costo Presupuestado]-Insurance162840[Costo Real]</f>
        <v>0</v>
      </c>
      <c r="F41" s="3"/>
      <c r="G41" s="3" t="s">
        <v>56</v>
      </c>
      <c r="H41" s="40"/>
      <c r="I41" s="40"/>
      <c r="J41" s="4">
        <f>Pets193143[Costo Presupuestado]-Pets193143[Costo Real]</f>
        <v>0</v>
      </c>
      <c r="K41" s="19"/>
      <c r="L41" s="19"/>
    </row>
    <row r="42" spans="2:12" x14ac:dyDescent="0.25">
      <c r="B42" s="34" t="s">
        <v>3</v>
      </c>
      <c r="C42" s="41">
        <f>SUBTOTAL(109,Insurance162840[Costo Presupuestado])</f>
        <v>500</v>
      </c>
      <c r="D42" s="41">
        <f>SUBTOTAL(109,Insurance162840[Costo Real])</f>
        <v>500</v>
      </c>
      <c r="E42" s="41">
        <f>SUBTOTAL(109,Insurance162840[Diferencia])</f>
        <v>0</v>
      </c>
      <c r="F42" s="3"/>
      <c r="G42" s="34" t="s">
        <v>3</v>
      </c>
      <c r="H42" s="49">
        <f>SUBTOTAL(109,Pets193143[Costo Presupuestado])</f>
        <v>0</v>
      </c>
      <c r="I42" s="49">
        <f>SUBTOTAL(109,Pets193143[Costo Real])</f>
        <v>0</v>
      </c>
      <c r="J42" s="49">
        <f>SUBTOTAL(109,Pets193143[Diferencia])</f>
        <v>0</v>
      </c>
      <c r="K42" s="19"/>
      <c r="L42" s="19"/>
    </row>
    <row r="43" spans="2:12" ht="25.5" customHeight="1" x14ac:dyDescent="0.25">
      <c r="B43" s="37"/>
      <c r="C43" s="37"/>
      <c r="D43" s="37"/>
      <c r="E43" s="37"/>
      <c r="F43" s="3"/>
      <c r="K43" s="19"/>
      <c r="L43" s="19"/>
    </row>
    <row r="44" spans="2:12" ht="25.5" x14ac:dyDescent="0.25">
      <c r="B44" s="16" t="s">
        <v>26</v>
      </c>
      <c r="C44" s="13" t="s">
        <v>18</v>
      </c>
      <c r="D44" s="13" t="s">
        <v>19</v>
      </c>
      <c r="E44" s="13" t="s">
        <v>8</v>
      </c>
      <c r="F44" s="3"/>
      <c r="G44" s="32" t="s">
        <v>24</v>
      </c>
      <c r="H44" s="13" t="s">
        <v>18</v>
      </c>
      <c r="I44" s="13" t="s">
        <v>19</v>
      </c>
      <c r="J44" s="13" t="s">
        <v>8</v>
      </c>
      <c r="K44" s="19"/>
      <c r="L44" s="19"/>
    </row>
    <row r="45" spans="2:12" x14ac:dyDescent="0.25">
      <c r="B45" s="3" t="s">
        <v>57</v>
      </c>
      <c r="C45" s="40">
        <v>2000</v>
      </c>
      <c r="D45" s="40">
        <v>2500</v>
      </c>
      <c r="E45" s="4">
        <f>Food172941[Costo Presupuestado]-Food172941[Costo Real]</f>
        <v>-500</v>
      </c>
      <c r="F45" s="3"/>
      <c r="G45" s="3" t="s">
        <v>72</v>
      </c>
      <c r="H45" s="40"/>
      <c r="I45" s="40"/>
      <c r="J45" s="4">
        <f>PersonalCare203244[Costo Presupuestado]-PersonalCare203244[Costo Real]</f>
        <v>0</v>
      </c>
      <c r="K45" s="19"/>
      <c r="L45" s="19"/>
    </row>
    <row r="46" spans="2:12" x14ac:dyDescent="0.25">
      <c r="B46" s="3" t="s">
        <v>58</v>
      </c>
      <c r="C46" s="40">
        <v>4000</v>
      </c>
      <c r="D46" s="40">
        <v>3000</v>
      </c>
      <c r="E46" s="4">
        <f>Food172941[Costo Presupuestado]-Food172941[Costo Real]</f>
        <v>1000</v>
      </c>
      <c r="F46" s="3"/>
      <c r="G46" s="3" t="s">
        <v>73</v>
      </c>
      <c r="H46" s="40"/>
      <c r="I46" s="40"/>
      <c r="J46" s="4">
        <f>PersonalCare203244[Costo Presupuestado]-PersonalCare203244[Costo Real]</f>
        <v>0</v>
      </c>
      <c r="K46" s="19"/>
      <c r="L46" s="19"/>
    </row>
    <row r="47" spans="2:12" x14ac:dyDescent="0.25">
      <c r="B47" s="3" t="s">
        <v>56</v>
      </c>
      <c r="C47" s="40">
        <v>0</v>
      </c>
      <c r="D47" s="40">
        <v>0</v>
      </c>
      <c r="E47" s="4">
        <f>Food172941[Costo Presupuestado]-Food172941[Costo Real]</f>
        <v>0</v>
      </c>
      <c r="F47" s="3"/>
      <c r="G47" s="3" t="s">
        <v>74</v>
      </c>
      <c r="H47" s="40">
        <v>1000</v>
      </c>
      <c r="I47" s="40">
        <v>600</v>
      </c>
      <c r="J47" s="4">
        <f>PersonalCare203244[Costo Presupuestado]-PersonalCare203244[Costo Real]</f>
        <v>400</v>
      </c>
      <c r="K47" s="19"/>
      <c r="L47" s="19"/>
    </row>
    <row r="48" spans="2:12" x14ac:dyDescent="0.25">
      <c r="B48" s="34" t="s">
        <v>3</v>
      </c>
      <c r="C48" s="41">
        <f>SUBTOTAL(109,Food172941[Costo Presupuestado])</f>
        <v>6000</v>
      </c>
      <c r="D48" s="41">
        <f>SUBTOTAL(109,Food172941[Costo Real])</f>
        <v>5500</v>
      </c>
      <c r="E48" s="41">
        <f>SUBTOTAL(109,Food172941[Diferencia])</f>
        <v>500</v>
      </c>
      <c r="F48" s="3"/>
      <c r="G48" s="3" t="s">
        <v>75</v>
      </c>
      <c r="H48" s="40"/>
      <c r="I48" s="40"/>
      <c r="J48" s="4">
        <f>PersonalCare203244[Costo Presupuestado]-PersonalCare203244[Costo Real]</f>
        <v>0</v>
      </c>
      <c r="K48" s="19"/>
      <c r="L48" s="19"/>
    </row>
    <row r="49" spans="2:12" ht="25.5" customHeight="1" x14ac:dyDescent="0.25">
      <c r="B49" s="37"/>
      <c r="C49" s="37"/>
      <c r="D49" s="37"/>
      <c r="E49" s="37"/>
      <c r="F49" s="3"/>
      <c r="G49" s="3" t="s">
        <v>76</v>
      </c>
      <c r="H49" s="40"/>
      <c r="I49" s="40"/>
      <c r="J49" s="4">
        <f>PersonalCare203244[Costo Presupuestado]-PersonalCare203244[Costo Real]</f>
        <v>0</v>
      </c>
      <c r="K49" s="19"/>
      <c r="L49" s="19"/>
    </row>
    <row r="50" spans="2:12" ht="25.5" customHeight="1" x14ac:dyDescent="0.25">
      <c r="B50" s="16" t="s">
        <v>23</v>
      </c>
      <c r="C50" s="13" t="s">
        <v>18</v>
      </c>
      <c r="D50" s="13" t="s">
        <v>19</v>
      </c>
      <c r="E50" s="13" t="s">
        <v>8</v>
      </c>
      <c r="F50" s="3"/>
      <c r="G50" s="3" t="s">
        <v>64</v>
      </c>
      <c r="H50" s="40"/>
      <c r="I50" s="40"/>
      <c r="J50" s="4">
        <f>PersonalCare203244[Costo Presupuestado]-PersonalCare203244[Costo Real]</f>
        <v>0</v>
      </c>
      <c r="K50" s="19"/>
      <c r="L50" s="19"/>
    </row>
    <row r="51" spans="2:12" x14ac:dyDescent="0.25">
      <c r="B51" s="21" t="s">
        <v>65</v>
      </c>
      <c r="C51" s="40">
        <v>0</v>
      </c>
      <c r="D51" s="40">
        <v>0</v>
      </c>
      <c r="E51" s="4">
        <f>Children183042[Costo Presupuestado]-Children183042[Costo Real]</f>
        <v>0</v>
      </c>
      <c r="F51" s="3"/>
      <c r="G51" s="34" t="s">
        <v>3</v>
      </c>
      <c r="H51" s="49">
        <f>SUBTOTAL(109,PersonalCare203244[Costo Presupuestado])</f>
        <v>1000</v>
      </c>
      <c r="I51" s="49">
        <f>SUBTOTAL(109,PersonalCare203244[Costo Real])</f>
        <v>600</v>
      </c>
      <c r="J51" s="49">
        <f>SUBTOTAL(109,PersonalCare203244[Diferencia])</f>
        <v>400</v>
      </c>
      <c r="K51" s="19"/>
      <c r="L51" s="19"/>
    </row>
    <row r="52" spans="2:12" x14ac:dyDescent="0.25">
      <c r="B52" s="21" t="s">
        <v>74</v>
      </c>
      <c r="C52" s="40">
        <v>0</v>
      </c>
      <c r="D52" s="40">
        <v>0</v>
      </c>
      <c r="E52" s="4">
        <f>Children183042[Costo Presupuestado]-Children183042[Costo Real]</f>
        <v>0</v>
      </c>
      <c r="F52" s="3"/>
      <c r="K52" s="19"/>
      <c r="L52" s="19"/>
    </row>
    <row r="53" spans="2:12" ht="38.25" x14ac:dyDescent="0.25">
      <c r="B53" s="21" t="s">
        <v>59</v>
      </c>
      <c r="C53" s="40">
        <v>0</v>
      </c>
      <c r="D53" s="40">
        <v>0</v>
      </c>
      <c r="E53" s="4">
        <f>Children183042[Costo Presupuestado]-Children183042[Costo Real]</f>
        <v>0</v>
      </c>
      <c r="F53" s="3"/>
      <c r="G53" s="22" t="s">
        <v>22</v>
      </c>
      <c r="H53" s="13" t="s">
        <v>18</v>
      </c>
      <c r="I53" s="13" t="s">
        <v>19</v>
      </c>
      <c r="J53" s="13" t="s">
        <v>8</v>
      </c>
      <c r="K53" s="19"/>
      <c r="L53" s="19"/>
    </row>
    <row r="54" spans="2:12" ht="25.5" x14ac:dyDescent="0.25">
      <c r="B54" s="21" t="s">
        <v>60</v>
      </c>
      <c r="C54" s="40">
        <v>0</v>
      </c>
      <c r="D54" s="40">
        <v>0</v>
      </c>
      <c r="E54" s="4">
        <f>Children183042[Costo Presupuestado]-Children183042[Costo Real]</f>
        <v>0</v>
      </c>
      <c r="F54" s="3"/>
      <c r="G54" s="3" t="s">
        <v>5</v>
      </c>
      <c r="H54" s="40"/>
      <c r="I54" s="40"/>
      <c r="J54" s="4">
        <f>Loans223446[Costo Presupuestado]-Loans223446[Costo Real]</f>
        <v>0</v>
      </c>
      <c r="K54" s="19"/>
      <c r="L54" s="19"/>
    </row>
    <row r="55" spans="2:12" ht="25.5" x14ac:dyDescent="0.25">
      <c r="B55" s="21" t="s">
        <v>4</v>
      </c>
      <c r="C55" s="40">
        <v>0</v>
      </c>
      <c r="D55" s="40">
        <v>0</v>
      </c>
      <c r="E55" s="4">
        <f>Children183042[Costo Presupuestado]-Children183042[Costo Real]</f>
        <v>0</v>
      </c>
      <c r="F55" s="3"/>
      <c r="G55" s="3" t="s">
        <v>68</v>
      </c>
      <c r="H55" s="40"/>
      <c r="I55" s="40"/>
      <c r="J55" s="4">
        <f>Loans223446[Costo Presupuestado]-Loans223446[Costo Real]</f>
        <v>0</v>
      </c>
      <c r="K55" s="19"/>
      <c r="L55" s="19"/>
    </row>
    <row r="56" spans="2:12" ht="25.5" x14ac:dyDescent="0.25">
      <c r="B56" s="21" t="s">
        <v>61</v>
      </c>
      <c r="C56" s="40">
        <v>0</v>
      </c>
      <c r="D56" s="40">
        <v>0</v>
      </c>
      <c r="E56" s="4">
        <f>Children183042[Costo Presupuestado]-Children183042[Costo Real]</f>
        <v>0</v>
      </c>
      <c r="F56" s="3"/>
      <c r="G56" s="3" t="s">
        <v>69</v>
      </c>
      <c r="H56" s="40"/>
      <c r="I56" s="40"/>
      <c r="J56" s="4">
        <f>Loans223446[Costo Presupuestado]-Loans223446[Costo Real]</f>
        <v>0</v>
      </c>
      <c r="K56" s="19"/>
      <c r="L56" s="19"/>
    </row>
    <row r="57" spans="2:12" x14ac:dyDescent="0.25">
      <c r="B57" s="21" t="s">
        <v>62</v>
      </c>
      <c r="C57" s="40">
        <v>0</v>
      </c>
      <c r="D57" s="40">
        <v>0</v>
      </c>
      <c r="E57" s="4">
        <f>Children183042[Costo Presupuestado]-Children183042[Costo Real]</f>
        <v>0</v>
      </c>
      <c r="F57" s="3"/>
      <c r="G57" s="3" t="s">
        <v>70</v>
      </c>
      <c r="H57" s="40"/>
      <c r="I57" s="40"/>
      <c r="J57" s="4">
        <f>Loans223446[Costo Presupuestado]-Loans223446[Costo Real]</f>
        <v>0</v>
      </c>
      <c r="K57" s="19"/>
      <c r="L57" s="19"/>
    </row>
    <row r="58" spans="2:12" x14ac:dyDescent="0.25">
      <c r="B58" s="21" t="s">
        <v>63</v>
      </c>
      <c r="C58" s="40">
        <v>0</v>
      </c>
      <c r="D58" s="40">
        <v>0</v>
      </c>
      <c r="E58" s="4">
        <f>Children183042[Costo Presupuestado]-Children183042[Costo Real]</f>
        <v>0</v>
      </c>
      <c r="F58" s="3"/>
      <c r="G58" s="3" t="s">
        <v>71</v>
      </c>
      <c r="H58" s="40"/>
      <c r="I58" s="40"/>
      <c r="J58" s="4">
        <f>Loans223446[Costo Presupuestado]-Loans223446[Costo Real]</f>
        <v>0</v>
      </c>
      <c r="K58" s="19"/>
      <c r="L58" s="19"/>
    </row>
    <row r="59" spans="2:12" x14ac:dyDescent="0.25">
      <c r="B59" s="21" t="s">
        <v>64</v>
      </c>
      <c r="C59" s="40">
        <v>0</v>
      </c>
      <c r="D59" s="40">
        <v>0</v>
      </c>
      <c r="E59" s="4">
        <f>Children183042[Costo Presupuestado]-Children183042[Costo Real]</f>
        <v>0</v>
      </c>
      <c r="F59" s="3"/>
      <c r="G59" s="3" t="s">
        <v>64</v>
      </c>
      <c r="H59" s="40"/>
      <c r="I59" s="40"/>
      <c r="J59" s="4">
        <f>Loans223446[Costo Presupuestado]-Loans223446[Costo Real]</f>
        <v>0</v>
      </c>
      <c r="K59" s="19"/>
      <c r="L59" s="19"/>
    </row>
    <row r="60" spans="2:12" x14ac:dyDescent="0.25">
      <c r="B60" s="34" t="s">
        <v>3</v>
      </c>
      <c r="C60" s="41">
        <f>SUBTOTAL(109,Children183042[Costo Presupuestado])</f>
        <v>0</v>
      </c>
      <c r="D60" s="41">
        <f>SUBTOTAL(109,Children183042[Costo Real])</f>
        <v>0</v>
      </c>
      <c r="E60" s="41">
        <f>SUBTOTAL(109,Children183042[Diferencia])</f>
        <v>0</v>
      </c>
      <c r="F60" s="3"/>
      <c r="G60" s="34" t="s">
        <v>3</v>
      </c>
      <c r="H60" s="49">
        <f>SUBTOTAL(109,Loans223446[Costo Presupuestado])</f>
        <v>0</v>
      </c>
      <c r="I60" s="49">
        <f>SUBTOTAL(109,Loans223446[Costo Real])</f>
        <v>0</v>
      </c>
      <c r="J60" s="49">
        <f>SUBTOTAL(109,Loans223446[Diferencia])</f>
        <v>0</v>
      </c>
      <c r="K60" s="19"/>
      <c r="L60" s="19"/>
    </row>
    <row r="61" spans="2:12" x14ac:dyDescent="0.25">
      <c r="F61" s="3"/>
      <c r="K61" s="19"/>
      <c r="L61" s="19"/>
    </row>
    <row r="62" spans="2:12" ht="25.5" x14ac:dyDescent="0.25">
      <c r="F62" s="3"/>
      <c r="G62" s="15" t="s">
        <v>21</v>
      </c>
      <c r="H62" s="13" t="s">
        <v>18</v>
      </c>
      <c r="I62" s="13" t="s">
        <v>19</v>
      </c>
      <c r="J62" s="13" t="s">
        <v>8</v>
      </c>
      <c r="K62" s="19"/>
      <c r="L62" s="19"/>
    </row>
    <row r="63" spans="2:12" x14ac:dyDescent="0.25">
      <c r="F63" s="3"/>
      <c r="G63" s="3" t="s">
        <v>66</v>
      </c>
      <c r="H63" s="40"/>
      <c r="I63" s="40"/>
      <c r="J63" s="4">
        <f>Legal253749[Costo Presupuestado]-Legal253749[Costo Real]</f>
        <v>0</v>
      </c>
      <c r="K63" s="19"/>
      <c r="L63" s="19"/>
    </row>
    <row r="64" spans="2:12" x14ac:dyDescent="0.25">
      <c r="F64" s="3"/>
      <c r="G64" s="3" t="s">
        <v>67</v>
      </c>
      <c r="H64" s="40"/>
      <c r="I64" s="40"/>
      <c r="J64" s="4">
        <f>Legal253749[Costo Presupuestado]-Legal253749[Costo Real]</f>
        <v>0</v>
      </c>
      <c r="K64" s="19"/>
      <c r="L64" s="19"/>
    </row>
    <row r="65" spans="6:12" x14ac:dyDescent="0.25">
      <c r="F65" s="3"/>
      <c r="G65" s="3" t="s">
        <v>64</v>
      </c>
      <c r="H65" s="40"/>
      <c r="I65" s="40"/>
      <c r="J65" s="4">
        <f>Legal253749[Costo Presupuestado]-Legal253749[Costo Real]</f>
        <v>0</v>
      </c>
      <c r="K65" s="19"/>
      <c r="L65" s="19"/>
    </row>
    <row r="66" spans="6:12" x14ac:dyDescent="0.25">
      <c r="F66" s="3"/>
      <c r="G66" s="34" t="s">
        <v>3</v>
      </c>
      <c r="H66" s="41">
        <f>SUBTOTAL(109,Legal253749[Costo Presupuestado])</f>
        <v>0</v>
      </c>
      <c r="I66" s="41">
        <f>SUBTOTAL(109,Legal253749[Costo Real])</f>
        <v>0</v>
      </c>
      <c r="J66" s="41">
        <f>SUBTOTAL(109,Legal253749[Diferencia])</f>
        <v>0</v>
      </c>
      <c r="K66" s="19"/>
      <c r="L66" s="19"/>
    </row>
    <row r="67" spans="6:12" x14ac:dyDescent="0.25">
      <c r="F67" s="3"/>
      <c r="K67" s="19"/>
      <c r="L67" s="19"/>
    </row>
    <row r="68" spans="6:12" x14ac:dyDescent="0.25">
      <c r="F68" s="3"/>
      <c r="K68" s="19"/>
      <c r="L68" s="19"/>
    </row>
    <row r="69" spans="6:12" x14ac:dyDescent="0.25">
      <c r="F69" s="3"/>
      <c r="K69" s="19"/>
      <c r="L69" s="19"/>
    </row>
    <row r="70" spans="6:12" x14ac:dyDescent="0.25">
      <c r="K70" s="19"/>
      <c r="L70" s="19"/>
    </row>
  </sheetData>
  <mergeCells count="6">
    <mergeCell ref="B1:H1"/>
    <mergeCell ref="B3:C3"/>
    <mergeCell ref="G3:H3"/>
    <mergeCell ref="G9:H9"/>
    <mergeCell ref="Q11:R11"/>
    <mergeCell ref="Q17:R17"/>
  </mergeCells>
  <conditionalFormatting sqref="J54:J59 J37:J41 J31:J33 J21:J27 E15:E24 E51:E59 E45:E47 E38:E41 H17 E28:E34 J63:J65 J45:J50 E7:E11">
    <cfRule type="iconSet" priority="1">
      <iconSet iconSet="3Arrows">
        <cfvo type="percentile" val="0"/>
        <cfvo type="num" val="-50"/>
        <cfvo type="num" val="50"/>
      </iconSet>
    </cfRule>
  </conditionalFormatting>
  <conditionalFormatting sqref="E15:E24">
    <cfRule type="iconSet" priority="2">
      <iconSet iconSet="4Arrows">
        <cfvo type="percent" val="0"/>
        <cfvo type="percent" val="25"/>
        <cfvo type="percent" val="50"/>
        <cfvo type="percent" val="75"/>
      </iconSet>
    </cfRule>
  </conditionalFormatting>
  <pageMargins left="0.7" right="0.7" top="0.75" bottom="0.75" header="0.3" footer="0.3"/>
  <drawing r:id="rId1"/>
  <tableParts count="1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0"/>
  <sheetViews>
    <sheetView workbookViewId="0">
      <selection activeCell="F3" sqref="F3"/>
    </sheetView>
  </sheetViews>
  <sheetFormatPr defaultRowHeight="15" x14ac:dyDescent="0.25"/>
  <cols>
    <col min="1" max="1" width="5" style="17" customWidth="1"/>
    <col min="2" max="2" width="17.42578125" style="17" customWidth="1"/>
    <col min="3" max="3" width="17.5703125" style="17" bestFit="1" customWidth="1"/>
    <col min="4" max="4" width="14" style="17" bestFit="1" customWidth="1"/>
    <col min="5" max="5" width="13" style="17" customWidth="1"/>
    <col min="6" max="6" width="5.5703125" style="17" customWidth="1"/>
    <col min="7" max="7" width="15.42578125" style="17" customWidth="1"/>
    <col min="8" max="8" width="14.7109375" style="17" bestFit="1" customWidth="1"/>
    <col min="9" max="9" width="12" style="17" bestFit="1" customWidth="1"/>
    <col min="10" max="10" width="10.85546875" style="17" bestFit="1" customWidth="1"/>
    <col min="11" max="16384" width="9.140625" style="17"/>
  </cols>
  <sheetData>
    <row r="1" spans="1:18" ht="62.25" customHeight="1" x14ac:dyDescent="0.3">
      <c r="A1" s="19"/>
      <c r="B1" s="51"/>
      <c r="C1" s="51"/>
      <c r="D1" s="51"/>
      <c r="E1" s="51"/>
      <c r="F1" s="51"/>
      <c r="G1" s="51"/>
      <c r="H1" s="51"/>
      <c r="I1" s="1"/>
      <c r="J1" s="1"/>
      <c r="K1" s="19"/>
      <c r="L1" s="19"/>
    </row>
    <row r="2" spans="1:18" ht="18.75" customHeight="1" thickBot="1" x14ac:dyDescent="0.3">
      <c r="A2" s="19"/>
      <c r="B2" s="38"/>
      <c r="C2" s="38"/>
      <c r="D2" s="38"/>
      <c r="E2" s="38"/>
      <c r="F2" s="38"/>
      <c r="G2" s="38"/>
      <c r="H2" s="38"/>
      <c r="I2" s="38"/>
      <c r="J2" s="38"/>
      <c r="K2" s="19"/>
      <c r="L2" s="19"/>
    </row>
    <row r="3" spans="1:18" ht="26.25" thickBot="1" x14ac:dyDescent="0.3">
      <c r="B3" s="52" t="s">
        <v>6</v>
      </c>
      <c r="C3" s="53"/>
      <c r="D3" s="23" t="s">
        <v>7</v>
      </c>
      <c r="E3" s="24" t="s">
        <v>8</v>
      </c>
      <c r="F3" s="2"/>
      <c r="G3" s="54" t="s">
        <v>9</v>
      </c>
      <c r="H3" s="55"/>
      <c r="I3" s="2"/>
      <c r="J3" s="2"/>
      <c r="K3" s="19"/>
      <c r="L3" s="19"/>
      <c r="Q3" s="19"/>
      <c r="R3" s="19"/>
    </row>
    <row r="4" spans="1:18" ht="15.75" thickBot="1" x14ac:dyDescent="0.3">
      <c r="B4" s="25"/>
      <c r="C4" s="50">
        <f>Housing11263850[[#Totals],[Costo Presupuestado]]+Transportation15273951[[#Totals],[Costo Presupuestado]]+Insurance16284052[[#Totals],[Costo Presupuestado]]+Food17294153[[#Totals],[Costo Presupuestado]]+Children18304254[[#Totals],[Costo Presupuestado]]+Legal25374961[[#Totals],[Costo Presupuestado]]+Savings23354759[[#Totals],[Costo Presupuestado]]+Loans22344658[[#Totals],[Costo Presupuestado]]+Entertainment21334557[[#Totals],[Costo Presupuestado]]+PersonalCare20324456[[#Totals],[Costo Presupuestado]]+Pets19314355[[#Totals],[Costo Presupuestado]]+Gifts24364860[[#Totals],[Costo Presupuestado]]</f>
        <v>44250</v>
      </c>
      <c r="D4" s="50">
        <f>Housing11263850[[#Totals],[Costo Real]]+Transportation15273951[[#Totals],[Costo Real]]+Insurance16284052[[#Totals],[Costo Real]]+Food17294153[[#Totals],[Costo Real]]+Children18304254[[#Totals],[Costo Real]]+Legal25374961[[#Totals],[Costo Real]]+Savings23354759[[#Totals],[Costo Real]]+Loans22344658[[#Totals],[Costo Real]]+Entertainment21334557[[#Totals],[Costo Real]]+PersonalCare20324456[[#Totals],[Costo Real]]+Pets19314355[[#Totals],[Costo Real]]+Gifts24364860[[#Totals],[Costo Real]]</f>
        <v>39844</v>
      </c>
      <c r="E4" s="45">
        <f>Housing11263850[[#Totals],[Diferencia]]+Transportation15273951[[#Totals],[Diferencia]]+Insurance16284052[[#Totals],[Diferencia]]+Food17294153[[#Totals],[Diferencia]]+Children18304254[[#Totals],[Diferencia]]+Legal25374961[[#Totals],[Diferencia]]+Savings23354759[[#Totals],[Diferencia]]+Loans22344658[[#Totals],[Diferencia]]+Entertainment21334557[[#Totals],[Diferencia]]+PersonalCare20324456[[#Totals],[Diferencia]]+Pets19314355[[#Totals],[Diferencia]]+Gifts24364860[[#Totals],[Diferencia]]</f>
        <v>4406</v>
      </c>
      <c r="F4" s="2"/>
      <c r="G4" s="39" t="s">
        <v>10</v>
      </c>
      <c r="H4" s="48">
        <v>50000</v>
      </c>
      <c r="I4" s="2"/>
      <c r="J4" s="2"/>
      <c r="K4" s="19"/>
      <c r="L4" s="19"/>
      <c r="Q4" s="19"/>
      <c r="R4" s="19"/>
    </row>
    <row r="5" spans="1:18" ht="25.5" x14ac:dyDescent="0.25">
      <c r="F5" s="3"/>
      <c r="G5" s="26" t="s">
        <v>11</v>
      </c>
      <c r="H5" s="46">
        <v>5000</v>
      </c>
      <c r="I5" s="3"/>
      <c r="J5" s="3"/>
      <c r="K5" s="19"/>
      <c r="L5" s="19"/>
      <c r="Q5" s="19"/>
      <c r="R5" s="19"/>
    </row>
    <row r="6" spans="1:18" ht="25.5" x14ac:dyDescent="0.25">
      <c r="B6" s="33" t="s">
        <v>20</v>
      </c>
      <c r="C6" s="13" t="s">
        <v>18</v>
      </c>
      <c r="D6" s="13" t="s">
        <v>19</v>
      </c>
      <c r="E6" s="13" t="s">
        <v>8</v>
      </c>
      <c r="F6" s="3"/>
      <c r="G6" s="26" t="s">
        <v>12</v>
      </c>
      <c r="H6" s="46">
        <v>0</v>
      </c>
      <c r="I6" s="3"/>
      <c r="J6" s="3"/>
      <c r="K6" s="19"/>
      <c r="L6" s="19"/>
      <c r="Q6" s="19"/>
      <c r="R6" s="19"/>
    </row>
    <row r="7" spans="1:18" ht="26.25" thickBot="1" x14ac:dyDescent="0.3">
      <c r="B7" s="3" t="s">
        <v>77</v>
      </c>
      <c r="C7" s="40">
        <v>5000</v>
      </c>
      <c r="D7" s="40">
        <v>5000</v>
      </c>
      <c r="E7" s="40">
        <f>Savings23354759[Costo Presupuestado]-Savings23354759[Costo Real]</f>
        <v>0</v>
      </c>
      <c r="F7" s="3"/>
      <c r="G7" s="27" t="s">
        <v>13</v>
      </c>
      <c r="H7" s="47">
        <f>SUM(H4:H6)</f>
        <v>55000</v>
      </c>
      <c r="I7" s="3"/>
      <c r="J7" s="3"/>
      <c r="K7" s="19"/>
      <c r="L7" s="19"/>
      <c r="Q7" s="19"/>
      <c r="R7" s="19"/>
    </row>
    <row r="8" spans="1:18" ht="15.75" thickBot="1" x14ac:dyDescent="0.3">
      <c r="B8" s="3" t="s">
        <v>78</v>
      </c>
      <c r="C8" s="40"/>
      <c r="D8" s="40"/>
      <c r="E8" s="40">
        <f>Savings23354759[Costo Presupuestado]-Savings23354759[Costo Real]</f>
        <v>0</v>
      </c>
      <c r="F8" s="3"/>
      <c r="G8" s="5"/>
      <c r="H8" s="6"/>
      <c r="I8" s="18"/>
      <c r="J8" s="18"/>
      <c r="K8" s="19"/>
      <c r="L8" s="19"/>
      <c r="Q8" s="19"/>
      <c r="R8" s="19"/>
    </row>
    <row r="9" spans="1:18" ht="25.5" x14ac:dyDescent="0.25">
      <c r="B9" s="3" t="s">
        <v>81</v>
      </c>
      <c r="C9" s="40"/>
      <c r="D9" s="40"/>
      <c r="E9" s="40">
        <f>Savings23354759[Costo Presupuestado]-Savings23354759[Costo Real]</f>
        <v>0</v>
      </c>
      <c r="F9" s="3"/>
      <c r="G9" s="56" t="s">
        <v>14</v>
      </c>
      <c r="H9" s="57"/>
      <c r="I9" s="3"/>
      <c r="J9" s="3"/>
      <c r="K9" s="19" t="s">
        <v>0</v>
      </c>
      <c r="L9" s="19"/>
      <c r="Q9" s="19"/>
      <c r="R9" s="19"/>
    </row>
    <row r="10" spans="1:18" x14ac:dyDescent="0.25">
      <c r="B10" s="36" t="s">
        <v>80</v>
      </c>
      <c r="C10" s="42"/>
      <c r="D10" s="42"/>
      <c r="E10" s="40">
        <f>Savings23354759[Costo Presupuestado]-Savings23354759[Costo Real]</f>
        <v>0</v>
      </c>
      <c r="F10" s="3"/>
      <c r="G10" s="26" t="s">
        <v>10</v>
      </c>
      <c r="H10" s="46">
        <v>48000</v>
      </c>
      <c r="I10" s="3"/>
      <c r="J10" s="3"/>
      <c r="K10" s="19"/>
      <c r="L10" s="19"/>
      <c r="Q10" s="19"/>
      <c r="R10" s="19"/>
    </row>
    <row r="11" spans="1:18" ht="25.5" x14ac:dyDescent="0.25">
      <c r="B11" s="3" t="s">
        <v>79</v>
      </c>
      <c r="C11" s="40"/>
      <c r="D11" s="40"/>
      <c r="E11" s="40">
        <f>Savings23354759[Costo Presupuestado]-Savings23354759[Costo Real]</f>
        <v>0</v>
      </c>
      <c r="F11" s="3"/>
      <c r="G11" s="26" t="s">
        <v>11</v>
      </c>
      <c r="H11" s="46">
        <v>4500</v>
      </c>
      <c r="I11" s="3"/>
      <c r="J11" s="3"/>
      <c r="K11" s="19"/>
      <c r="L11" s="19"/>
      <c r="Q11" s="58"/>
      <c r="R11" s="58"/>
    </row>
    <row r="12" spans="1:18" x14ac:dyDescent="0.25">
      <c r="B12" s="34" t="s">
        <v>3</v>
      </c>
      <c r="C12" s="41">
        <f>SUBTOTAL(109,Savings23354759[Costo Presupuestado])</f>
        <v>5000</v>
      </c>
      <c r="D12" s="41">
        <f>SUBTOTAL(109,Savings23354759[Costo Real])</f>
        <v>5000</v>
      </c>
      <c r="E12" s="41">
        <f>SUBTOTAL(109,Savings23354759[Diferencia])</f>
        <v>0</v>
      </c>
      <c r="F12" s="3"/>
      <c r="G12" s="26" t="s">
        <v>12</v>
      </c>
      <c r="H12" s="46">
        <v>0</v>
      </c>
      <c r="I12" s="3"/>
      <c r="J12" s="3"/>
      <c r="K12" s="19"/>
      <c r="L12" s="19"/>
      <c r="Q12" s="7"/>
      <c r="R12" s="8"/>
    </row>
    <row r="13" spans="1:18" ht="26.25" thickBot="1" x14ac:dyDescent="0.3">
      <c r="F13" s="3"/>
      <c r="G13" s="27" t="s">
        <v>13</v>
      </c>
      <c r="H13" s="47">
        <f>SUM(H10:H12)</f>
        <v>52500</v>
      </c>
      <c r="I13" s="3"/>
      <c r="J13" s="3"/>
      <c r="K13" s="19"/>
      <c r="L13" s="19"/>
      <c r="Q13" s="7"/>
      <c r="R13" s="8"/>
    </row>
    <row r="14" spans="1:18" ht="26.25" thickBot="1" x14ac:dyDescent="0.3">
      <c r="B14" s="12" t="s">
        <v>17</v>
      </c>
      <c r="C14" s="13" t="s">
        <v>18</v>
      </c>
      <c r="D14" s="13" t="s">
        <v>19</v>
      </c>
      <c r="E14" s="13" t="s">
        <v>8</v>
      </c>
      <c r="F14" s="3"/>
      <c r="G14" s="2"/>
      <c r="H14" s="2"/>
      <c r="I14" s="3"/>
      <c r="J14" s="3"/>
      <c r="K14" s="19"/>
      <c r="L14" s="19"/>
      <c r="Q14" s="7"/>
      <c r="R14" s="8"/>
    </row>
    <row r="15" spans="1:18" ht="25.5" x14ac:dyDescent="0.25">
      <c r="B15" s="3" t="s">
        <v>36</v>
      </c>
      <c r="C15" s="40">
        <v>16000</v>
      </c>
      <c r="D15" s="40">
        <v>16000</v>
      </c>
      <c r="E15" s="4">
        <f>Housing11263850[Costo Presupuestado]-Housing11263850[Costo Real]</f>
        <v>0</v>
      </c>
      <c r="F15" s="3"/>
      <c r="G15" s="29" t="s">
        <v>15</v>
      </c>
      <c r="H15" s="43">
        <f>SUM(H7-C4)</f>
        <v>10750</v>
      </c>
      <c r="I15" s="3"/>
      <c r="J15" s="3"/>
      <c r="K15" s="19"/>
      <c r="L15" s="19"/>
      <c r="Q15" s="7"/>
      <c r="R15" s="8"/>
    </row>
    <row r="16" spans="1:18" ht="25.5" customHeight="1" x14ac:dyDescent="0.25">
      <c r="B16" s="3" t="s">
        <v>37</v>
      </c>
      <c r="C16" s="40">
        <v>0</v>
      </c>
      <c r="D16" s="40">
        <v>0</v>
      </c>
      <c r="E16" s="4">
        <f>Housing11263850[Costo Presupuestado]-Housing11263850[Costo Real]</f>
        <v>0</v>
      </c>
      <c r="F16" s="3"/>
      <c r="G16" s="30" t="s">
        <v>16</v>
      </c>
      <c r="H16" s="44">
        <f>SUM(H13-D4)</f>
        <v>12656</v>
      </c>
      <c r="I16" s="3"/>
      <c r="J16" s="3"/>
      <c r="K16" s="19"/>
      <c r="L16" s="19"/>
      <c r="Q16" s="10"/>
      <c r="R16" s="2"/>
    </row>
    <row r="17" spans="2:18" ht="15.75" thickBot="1" x14ac:dyDescent="0.3">
      <c r="B17" s="3" t="s">
        <v>38</v>
      </c>
      <c r="C17" s="40">
        <v>0</v>
      </c>
      <c r="D17" s="40">
        <v>0</v>
      </c>
      <c r="E17" s="4">
        <f>Housing11263850[Costo Presupuestado]-Housing11263850[Costo Real]</f>
        <v>0</v>
      </c>
      <c r="F17" s="3"/>
      <c r="G17" s="31" t="s">
        <v>8</v>
      </c>
      <c r="H17" s="45">
        <f>SUM(H16-H15)</f>
        <v>1906</v>
      </c>
      <c r="I17" s="3"/>
      <c r="J17" s="3"/>
      <c r="K17" s="19"/>
      <c r="L17" s="19"/>
      <c r="Q17" s="58"/>
      <c r="R17" s="58"/>
    </row>
    <row r="18" spans="2:18" x14ac:dyDescent="0.25">
      <c r="B18" s="3" t="s">
        <v>31</v>
      </c>
      <c r="C18" s="40">
        <v>200</v>
      </c>
      <c r="D18" s="40">
        <v>200</v>
      </c>
      <c r="E18" s="4">
        <f>Housing11263850[Costo Presupuestado]-Housing11263850[Costo Real]</f>
        <v>0</v>
      </c>
      <c r="F18" s="3"/>
      <c r="G18" s="3"/>
      <c r="H18" s="3"/>
      <c r="I18" s="3"/>
      <c r="J18" s="3"/>
      <c r="K18" s="19"/>
      <c r="L18" s="19"/>
      <c r="Q18" s="7"/>
      <c r="R18" s="8"/>
    </row>
    <row r="19" spans="2:18" x14ac:dyDescent="0.25">
      <c r="B19" s="3" t="s">
        <v>32</v>
      </c>
      <c r="C19" s="40">
        <v>100</v>
      </c>
      <c r="D19" s="40">
        <v>100</v>
      </c>
      <c r="E19" s="4">
        <f>Housing11263850[Costo Presupuestado]-Housing11263850[Costo Real]</f>
        <v>0</v>
      </c>
      <c r="F19" s="3"/>
      <c r="G19" s="18"/>
      <c r="H19" s="18"/>
      <c r="I19" s="18"/>
      <c r="J19" s="18"/>
      <c r="K19" s="19"/>
      <c r="L19" s="19"/>
      <c r="Q19" s="7"/>
      <c r="R19" s="8"/>
    </row>
    <row r="20" spans="2:18" ht="25.5" x14ac:dyDescent="0.25">
      <c r="B20" s="3" t="s">
        <v>33</v>
      </c>
      <c r="C20" s="40">
        <v>0</v>
      </c>
      <c r="D20" s="40">
        <v>0</v>
      </c>
      <c r="E20" s="4">
        <f>Housing11263850[Costo Presupuestado]-Housing11263850[Costo Real]</f>
        <v>0</v>
      </c>
      <c r="F20" s="3"/>
      <c r="G20" s="14" t="s">
        <v>29</v>
      </c>
      <c r="H20" s="13" t="s">
        <v>18</v>
      </c>
      <c r="I20" s="13" t="s">
        <v>19</v>
      </c>
      <c r="J20" s="13" t="s">
        <v>8</v>
      </c>
      <c r="K20" s="19"/>
      <c r="L20" s="19"/>
      <c r="Q20" s="7"/>
      <c r="R20" s="8"/>
    </row>
    <row r="21" spans="2:18" ht="25.5" x14ac:dyDescent="0.25">
      <c r="B21" s="3" t="s">
        <v>1</v>
      </c>
      <c r="C21" s="40">
        <v>1000</v>
      </c>
      <c r="D21" s="40">
        <v>900</v>
      </c>
      <c r="E21" s="4">
        <f>Housing11263850[Costo Presupuestado]-Housing11263850[Costo Real]</f>
        <v>100</v>
      </c>
      <c r="F21" s="3"/>
      <c r="G21" s="3" t="s">
        <v>87</v>
      </c>
      <c r="H21" s="40">
        <v>0</v>
      </c>
      <c r="I21" s="40">
        <v>0</v>
      </c>
      <c r="J21" s="4">
        <f>Entertainment21334557[Costo Presupuestado]-Entertainment21334557[Costo Real]</f>
        <v>0</v>
      </c>
      <c r="K21" s="19"/>
      <c r="L21" s="19"/>
      <c r="Q21" s="7"/>
      <c r="R21" s="8"/>
    </row>
    <row r="22" spans="2:18" ht="25.5" customHeight="1" x14ac:dyDescent="0.25">
      <c r="B22" s="3" t="s">
        <v>2</v>
      </c>
      <c r="C22" s="40">
        <v>450</v>
      </c>
      <c r="D22" s="40">
        <v>400</v>
      </c>
      <c r="E22" s="4">
        <f>Housing11263850[Costo Presupuestado]-Housing11263850[Costo Real]</f>
        <v>50</v>
      </c>
      <c r="F22" s="3"/>
      <c r="G22" s="3" t="s">
        <v>86</v>
      </c>
      <c r="H22" s="40">
        <v>5000</v>
      </c>
      <c r="I22" s="40">
        <v>4000</v>
      </c>
      <c r="J22" s="4">
        <f>Entertainment21334557[Costo Presupuestado]-Entertainment21334557[Costo Real]</f>
        <v>1000</v>
      </c>
      <c r="K22" s="19"/>
      <c r="L22" s="19"/>
      <c r="Q22" s="2"/>
      <c r="R22" s="2"/>
    </row>
    <row r="23" spans="2:18" x14ac:dyDescent="0.25">
      <c r="B23" s="3" t="s">
        <v>34</v>
      </c>
      <c r="C23" s="40">
        <v>1800</v>
      </c>
      <c r="D23" s="40">
        <v>1600</v>
      </c>
      <c r="E23" s="9">
        <f>Housing11263850[Costo Presupuestado]-Housing11263850[Costo Real]</f>
        <v>200</v>
      </c>
      <c r="F23" s="3"/>
      <c r="G23" s="3" t="s">
        <v>82</v>
      </c>
      <c r="H23" s="40">
        <v>700</v>
      </c>
      <c r="I23" s="40">
        <v>1000</v>
      </c>
      <c r="J23" s="4">
        <f>Entertainment21334557[Costo Presupuestado]-Entertainment21334557[Costo Real]</f>
        <v>-300</v>
      </c>
      <c r="K23" s="19"/>
      <c r="L23" s="19"/>
      <c r="Q23" s="20"/>
      <c r="R23" s="11"/>
    </row>
    <row r="24" spans="2:18" x14ac:dyDescent="0.25">
      <c r="B24" s="3" t="s">
        <v>35</v>
      </c>
      <c r="C24" s="40">
        <v>500</v>
      </c>
      <c r="D24" s="40">
        <v>44</v>
      </c>
      <c r="E24" s="4">
        <f>Housing11263850[Costo Presupuestado]-Housing11263850[Costo Real]</f>
        <v>456</v>
      </c>
      <c r="F24" s="3"/>
      <c r="G24" s="3" t="s">
        <v>83</v>
      </c>
      <c r="H24" s="40">
        <v>0</v>
      </c>
      <c r="I24" s="40">
        <v>0</v>
      </c>
      <c r="J24" s="4">
        <f>Entertainment21334557[Costo Presupuestado]-Entertainment21334557[Costo Real]</f>
        <v>0</v>
      </c>
      <c r="K24" s="19"/>
      <c r="L24" s="19"/>
    </row>
    <row r="25" spans="2:18" ht="25.5" x14ac:dyDescent="0.25">
      <c r="B25" s="21" t="s">
        <v>3</v>
      </c>
      <c r="C25" s="40">
        <f>SUBTOTAL(109,Housing11263850[Costo Presupuestado])</f>
        <v>20050</v>
      </c>
      <c r="D25" s="40">
        <f>SUBTOTAL(109,Housing11263850[Costo Real])</f>
        <v>19244</v>
      </c>
      <c r="E25" s="40">
        <f>SUBTOTAL(109,Housing11263850[Diferencia])</f>
        <v>806</v>
      </c>
      <c r="F25" s="3"/>
      <c r="G25" s="3" t="s">
        <v>84</v>
      </c>
      <c r="H25" s="40">
        <v>0</v>
      </c>
      <c r="I25" s="40">
        <v>0</v>
      </c>
      <c r="J25" s="4">
        <f>Entertainment21334557[Costo Presupuestado]-Entertainment21334557[Costo Real]</f>
        <v>0</v>
      </c>
      <c r="K25" s="19"/>
      <c r="L25" s="19"/>
    </row>
    <row r="26" spans="2:18" x14ac:dyDescent="0.25">
      <c r="B26" s="37"/>
      <c r="C26" s="37"/>
      <c r="D26" s="37"/>
      <c r="E26" s="37"/>
      <c r="F26" s="3"/>
      <c r="G26" s="3" t="s">
        <v>85</v>
      </c>
      <c r="H26" s="40">
        <v>0</v>
      </c>
      <c r="I26" s="40">
        <v>0</v>
      </c>
      <c r="J26" s="4">
        <f>Entertainment21334557[Costo Presupuestado]-Entertainment21334557[Costo Real]</f>
        <v>0</v>
      </c>
      <c r="K26" s="19"/>
      <c r="L26" s="19"/>
    </row>
    <row r="27" spans="2:18" ht="25.5" x14ac:dyDescent="0.25">
      <c r="B27" s="28" t="s">
        <v>30</v>
      </c>
      <c r="C27" s="13" t="s">
        <v>18</v>
      </c>
      <c r="D27" s="13" t="s">
        <v>19</v>
      </c>
      <c r="E27" s="13" t="s">
        <v>8</v>
      </c>
      <c r="F27" s="3"/>
      <c r="G27" s="3" t="s">
        <v>64</v>
      </c>
      <c r="H27" s="40"/>
      <c r="I27" s="40"/>
      <c r="J27" s="4">
        <f>Entertainment21334557[Costo Presupuestado]-Entertainment21334557[Costo Real]</f>
        <v>0</v>
      </c>
      <c r="K27" s="19"/>
      <c r="L27" s="19"/>
    </row>
    <row r="28" spans="2:18" ht="25.5" x14ac:dyDescent="0.25">
      <c r="B28" s="3" t="s">
        <v>43</v>
      </c>
      <c r="C28" s="40">
        <v>0</v>
      </c>
      <c r="D28" s="40">
        <v>0</v>
      </c>
      <c r="E28" s="4">
        <f>Transportation15273951[Costo Presupuestado]-Transportation15273951[Costo Real]</f>
        <v>0</v>
      </c>
      <c r="F28" s="3"/>
      <c r="G28" s="34" t="s">
        <v>3</v>
      </c>
      <c r="H28" s="35">
        <f>SUBTOTAL(109,Entertainment21334557[Costo Presupuestado])</f>
        <v>5700</v>
      </c>
      <c r="I28" s="35">
        <f>SUBTOTAL(109,Entertainment21334557[Costo Real])</f>
        <v>5000</v>
      </c>
      <c r="J28" s="35">
        <f>SUBTOTAL(109,Entertainment21334557[Diferencia])</f>
        <v>700</v>
      </c>
      <c r="K28" s="19"/>
      <c r="L28" s="19"/>
    </row>
    <row r="29" spans="2:18" ht="25.5" x14ac:dyDescent="0.25">
      <c r="B29" s="3" t="s">
        <v>44</v>
      </c>
      <c r="C29" s="40">
        <v>0</v>
      </c>
      <c r="D29" s="40">
        <v>0</v>
      </c>
      <c r="E29" s="4">
        <f>Transportation15273951[Costo Presupuestado]-Transportation15273951[Costo Real]</f>
        <v>0</v>
      </c>
      <c r="F29" s="3"/>
      <c r="K29" s="19"/>
      <c r="L29" s="19"/>
    </row>
    <row r="30" spans="2:18" ht="25.5" x14ac:dyDescent="0.25">
      <c r="B30" s="3" t="s">
        <v>39</v>
      </c>
      <c r="C30" s="40">
        <v>0</v>
      </c>
      <c r="D30" s="40">
        <v>0</v>
      </c>
      <c r="E30" s="4">
        <f>Transportation15273951[Costo Presupuestado]-Transportation15273951[Costo Real]</f>
        <v>0</v>
      </c>
      <c r="F30" s="3"/>
      <c r="G30" s="15" t="s">
        <v>28</v>
      </c>
      <c r="H30" s="13" t="s">
        <v>18</v>
      </c>
      <c r="I30" s="13" t="s">
        <v>19</v>
      </c>
      <c r="J30" s="13" t="s">
        <v>8</v>
      </c>
      <c r="K30" s="19"/>
      <c r="L30" s="19"/>
    </row>
    <row r="31" spans="2:18" x14ac:dyDescent="0.25">
      <c r="B31" s="3" t="s">
        <v>40</v>
      </c>
      <c r="C31" s="40">
        <v>6000</v>
      </c>
      <c r="D31" s="40">
        <v>4000</v>
      </c>
      <c r="E31" s="4">
        <f>Transportation15273951[Costo Presupuestado]-Transportation15273951[Costo Real]</f>
        <v>2000</v>
      </c>
      <c r="F31" s="3"/>
      <c r="G31" s="3" t="s">
        <v>49</v>
      </c>
      <c r="H31" s="40"/>
      <c r="I31" s="40">
        <v>0</v>
      </c>
      <c r="J31" s="4">
        <f>Gifts24364860[Costo Presupuestado]-Gifts24364860[Costo Real]</f>
        <v>0</v>
      </c>
      <c r="K31" s="19"/>
      <c r="L31" s="19"/>
    </row>
    <row r="32" spans="2:18" x14ac:dyDescent="0.25">
      <c r="B32" s="3" t="s">
        <v>41</v>
      </c>
      <c r="C32" s="40">
        <v>0</v>
      </c>
      <c r="D32" s="40">
        <v>0</v>
      </c>
      <c r="E32" s="4">
        <f>Transportation15273951[Costo Presupuestado]-Transportation15273951[Costo Real]</f>
        <v>0</v>
      </c>
      <c r="F32" s="3"/>
      <c r="G32" s="3" t="s">
        <v>50</v>
      </c>
      <c r="H32" s="40"/>
      <c r="I32" s="40"/>
      <c r="J32" s="4">
        <f>Gifts24364860[Costo Presupuestado]-Gifts24364860[Costo Real]</f>
        <v>0</v>
      </c>
      <c r="K32" s="19"/>
      <c r="L32" s="19"/>
    </row>
    <row r="33" spans="2:12" x14ac:dyDescent="0.25">
      <c r="B33" s="3" t="s">
        <v>42</v>
      </c>
      <c r="C33" s="40">
        <v>0</v>
      </c>
      <c r="D33" s="40">
        <v>0</v>
      </c>
      <c r="E33" s="4">
        <f>Transportation15273951[Costo Presupuestado]-Transportation15273951[Costo Real]</f>
        <v>0</v>
      </c>
      <c r="F33" s="3"/>
      <c r="G33" s="3" t="s">
        <v>51</v>
      </c>
      <c r="H33" s="40"/>
      <c r="I33" s="40"/>
      <c r="J33" s="4">
        <f>Gifts24364860[Costo Presupuestado]-Gifts24364860[Costo Real]</f>
        <v>0</v>
      </c>
      <c r="K33" s="19"/>
      <c r="L33" s="19"/>
    </row>
    <row r="34" spans="2:12" x14ac:dyDescent="0.25">
      <c r="B34" s="3" t="s">
        <v>38</v>
      </c>
      <c r="C34" s="40">
        <v>0</v>
      </c>
      <c r="D34" s="40">
        <v>0</v>
      </c>
      <c r="E34" s="4">
        <f>Transportation15273951[Costo Presupuestado]-Transportation15273951[Costo Real]</f>
        <v>0</v>
      </c>
      <c r="F34" s="3"/>
      <c r="G34" s="34" t="s">
        <v>3</v>
      </c>
      <c r="H34" s="41">
        <f>SUBTOTAL(109,Gifts24364860[Costo Presupuestado])</f>
        <v>0</v>
      </c>
      <c r="I34" s="41">
        <f>SUBTOTAL(109,Gifts24364860[Costo Real])</f>
        <v>0</v>
      </c>
      <c r="J34" s="41">
        <f>SUBTOTAL(109,Gifts24364860[Diferencia])</f>
        <v>0</v>
      </c>
      <c r="K34" s="19"/>
      <c r="L34" s="19"/>
    </row>
    <row r="35" spans="2:12" x14ac:dyDescent="0.25">
      <c r="B35" s="34" t="s">
        <v>3</v>
      </c>
      <c r="C35" s="41">
        <f>SUBTOTAL(109,Transportation15273951[Costo Presupuestado])</f>
        <v>6000</v>
      </c>
      <c r="D35" s="41">
        <f>SUBTOTAL(109,Transportation15273951[Costo Real])</f>
        <v>4000</v>
      </c>
      <c r="E35" s="41">
        <f>SUBTOTAL(109,Transportation15273951[Diferencia])</f>
        <v>2000</v>
      </c>
      <c r="F35" s="3"/>
      <c r="K35" s="19"/>
      <c r="L35" s="19"/>
    </row>
    <row r="36" spans="2:12" ht="25.5" x14ac:dyDescent="0.25">
      <c r="B36" s="37"/>
      <c r="C36" s="37"/>
      <c r="D36" s="37"/>
      <c r="E36" s="37"/>
      <c r="F36" s="3"/>
      <c r="G36" s="32" t="s">
        <v>25</v>
      </c>
      <c r="H36" s="13" t="s">
        <v>18</v>
      </c>
      <c r="I36" s="13" t="s">
        <v>19</v>
      </c>
      <c r="J36" s="13" t="s">
        <v>8</v>
      </c>
      <c r="K36" s="19"/>
      <c r="L36" s="19"/>
    </row>
    <row r="37" spans="2:12" ht="25.5" x14ac:dyDescent="0.25">
      <c r="B37" s="16" t="s">
        <v>27</v>
      </c>
      <c r="C37" s="13" t="s">
        <v>18</v>
      </c>
      <c r="D37" s="13" t="s">
        <v>19</v>
      </c>
      <c r="E37" s="13" t="s">
        <v>8</v>
      </c>
      <c r="F37" s="3"/>
      <c r="G37" s="3" t="s">
        <v>52</v>
      </c>
      <c r="H37" s="40"/>
      <c r="I37" s="40"/>
      <c r="J37" s="4">
        <f>Pets19314355[Costo Presupuestado]-Pets19314355[Costo Real]</f>
        <v>0</v>
      </c>
      <c r="K37" s="19"/>
      <c r="L37" s="19"/>
    </row>
    <row r="38" spans="2:12" x14ac:dyDescent="0.25">
      <c r="B38" s="3" t="s">
        <v>45</v>
      </c>
      <c r="C38" s="40">
        <v>0</v>
      </c>
      <c r="D38" s="40">
        <v>0</v>
      </c>
      <c r="E38" s="4">
        <f>Insurance16284052[Costo Presupuestado]-Insurance16284052[Costo Real]</f>
        <v>0</v>
      </c>
      <c r="F38" s="3"/>
      <c r="G38" s="3" t="s">
        <v>53</v>
      </c>
      <c r="H38" s="40"/>
      <c r="I38" s="40"/>
      <c r="J38" s="4">
        <f>Pets19314355[Costo Presupuestado]-Pets19314355[Costo Real]</f>
        <v>0</v>
      </c>
      <c r="K38" s="19"/>
      <c r="L38" s="19"/>
    </row>
    <row r="39" spans="2:12" x14ac:dyDescent="0.25">
      <c r="B39" s="3" t="s">
        <v>46</v>
      </c>
      <c r="C39" s="40">
        <v>500</v>
      </c>
      <c r="D39" s="40">
        <v>500</v>
      </c>
      <c r="E39" s="4">
        <f>Insurance16284052[Costo Presupuestado]-Insurance16284052[Costo Real]</f>
        <v>0</v>
      </c>
      <c r="F39" s="3"/>
      <c r="G39" s="3" t="s">
        <v>54</v>
      </c>
      <c r="H39" s="40"/>
      <c r="I39" s="40"/>
      <c r="J39" s="4">
        <f>Pets19314355[Costo Presupuestado]-Pets19314355[Costo Real]</f>
        <v>0</v>
      </c>
      <c r="K39" s="19"/>
      <c r="L39" s="19"/>
    </row>
    <row r="40" spans="2:12" x14ac:dyDescent="0.25">
      <c r="B40" s="3" t="s">
        <v>47</v>
      </c>
      <c r="C40" s="40">
        <v>0</v>
      </c>
      <c r="D40" s="40">
        <v>0</v>
      </c>
      <c r="E40" s="4">
        <f>Insurance16284052[Costo Presupuestado]-Insurance16284052[Costo Real]</f>
        <v>0</v>
      </c>
      <c r="F40" s="3"/>
      <c r="G40" s="3" t="s">
        <v>55</v>
      </c>
      <c r="H40" s="40"/>
      <c r="I40" s="40"/>
      <c r="J40" s="4">
        <f>Pets19314355[Costo Presupuestado]-Pets19314355[Costo Real]</f>
        <v>0</v>
      </c>
      <c r="K40" s="19"/>
      <c r="L40" s="19"/>
    </row>
    <row r="41" spans="2:12" x14ac:dyDescent="0.25">
      <c r="B41" s="3" t="s">
        <v>48</v>
      </c>
      <c r="C41" s="40">
        <v>0</v>
      </c>
      <c r="D41" s="40">
        <v>0</v>
      </c>
      <c r="E41" s="4">
        <f>Insurance16284052[Costo Presupuestado]-Insurance16284052[Costo Real]</f>
        <v>0</v>
      </c>
      <c r="F41" s="3"/>
      <c r="G41" s="3" t="s">
        <v>56</v>
      </c>
      <c r="H41" s="40"/>
      <c r="I41" s="40"/>
      <c r="J41" s="4">
        <f>Pets19314355[Costo Presupuestado]-Pets19314355[Costo Real]</f>
        <v>0</v>
      </c>
      <c r="K41" s="19"/>
      <c r="L41" s="19"/>
    </row>
    <row r="42" spans="2:12" x14ac:dyDescent="0.25">
      <c r="B42" s="34" t="s">
        <v>3</v>
      </c>
      <c r="C42" s="41">
        <f>SUBTOTAL(109,Insurance16284052[Costo Presupuestado])</f>
        <v>500</v>
      </c>
      <c r="D42" s="41">
        <f>SUBTOTAL(109,Insurance16284052[Costo Real])</f>
        <v>500</v>
      </c>
      <c r="E42" s="41">
        <f>SUBTOTAL(109,Insurance16284052[Diferencia])</f>
        <v>0</v>
      </c>
      <c r="F42" s="3"/>
      <c r="G42" s="34" t="s">
        <v>3</v>
      </c>
      <c r="H42" s="49">
        <f>SUBTOTAL(109,Pets19314355[Costo Presupuestado])</f>
        <v>0</v>
      </c>
      <c r="I42" s="49">
        <f>SUBTOTAL(109,Pets19314355[Costo Real])</f>
        <v>0</v>
      </c>
      <c r="J42" s="49">
        <f>SUBTOTAL(109,Pets19314355[Diferencia])</f>
        <v>0</v>
      </c>
      <c r="K42" s="19"/>
      <c r="L42" s="19"/>
    </row>
    <row r="43" spans="2:12" ht="25.5" customHeight="1" x14ac:dyDescent="0.25">
      <c r="B43" s="37"/>
      <c r="C43" s="37"/>
      <c r="D43" s="37"/>
      <c r="E43" s="37"/>
      <c r="F43" s="3"/>
      <c r="K43" s="19"/>
      <c r="L43" s="19"/>
    </row>
    <row r="44" spans="2:12" ht="25.5" x14ac:dyDescent="0.25">
      <c r="B44" s="16" t="s">
        <v>26</v>
      </c>
      <c r="C44" s="13" t="s">
        <v>18</v>
      </c>
      <c r="D44" s="13" t="s">
        <v>19</v>
      </c>
      <c r="E44" s="13" t="s">
        <v>8</v>
      </c>
      <c r="F44" s="3"/>
      <c r="G44" s="32" t="s">
        <v>24</v>
      </c>
      <c r="H44" s="13" t="s">
        <v>18</v>
      </c>
      <c r="I44" s="13" t="s">
        <v>19</v>
      </c>
      <c r="J44" s="13" t="s">
        <v>8</v>
      </c>
      <c r="K44" s="19"/>
      <c r="L44" s="19"/>
    </row>
    <row r="45" spans="2:12" x14ac:dyDescent="0.25">
      <c r="B45" s="3" t="s">
        <v>57</v>
      </c>
      <c r="C45" s="40">
        <v>2000</v>
      </c>
      <c r="D45" s="40">
        <v>2500</v>
      </c>
      <c r="E45" s="4">
        <f>Food17294153[Costo Presupuestado]-Food17294153[Costo Real]</f>
        <v>-500</v>
      </c>
      <c r="F45" s="3"/>
      <c r="G45" s="3" t="s">
        <v>72</v>
      </c>
      <c r="H45" s="40"/>
      <c r="I45" s="40"/>
      <c r="J45" s="4">
        <f>PersonalCare20324456[Costo Presupuestado]-PersonalCare20324456[Costo Real]</f>
        <v>0</v>
      </c>
      <c r="K45" s="19"/>
      <c r="L45" s="19"/>
    </row>
    <row r="46" spans="2:12" x14ac:dyDescent="0.25">
      <c r="B46" s="3" t="s">
        <v>58</v>
      </c>
      <c r="C46" s="40">
        <v>4000</v>
      </c>
      <c r="D46" s="40">
        <v>3000</v>
      </c>
      <c r="E46" s="4">
        <f>Food17294153[Costo Presupuestado]-Food17294153[Costo Real]</f>
        <v>1000</v>
      </c>
      <c r="F46" s="3"/>
      <c r="G46" s="3" t="s">
        <v>73</v>
      </c>
      <c r="H46" s="40"/>
      <c r="I46" s="40"/>
      <c r="J46" s="4">
        <f>PersonalCare20324456[Costo Presupuestado]-PersonalCare20324456[Costo Real]</f>
        <v>0</v>
      </c>
      <c r="K46" s="19"/>
      <c r="L46" s="19"/>
    </row>
    <row r="47" spans="2:12" x14ac:dyDescent="0.25">
      <c r="B47" s="3" t="s">
        <v>56</v>
      </c>
      <c r="C47" s="40">
        <v>0</v>
      </c>
      <c r="D47" s="40">
        <v>0</v>
      </c>
      <c r="E47" s="4">
        <f>Food17294153[Costo Presupuestado]-Food17294153[Costo Real]</f>
        <v>0</v>
      </c>
      <c r="F47" s="3"/>
      <c r="G47" s="3" t="s">
        <v>74</v>
      </c>
      <c r="H47" s="40">
        <v>1000</v>
      </c>
      <c r="I47" s="40">
        <v>600</v>
      </c>
      <c r="J47" s="4">
        <f>PersonalCare20324456[Costo Presupuestado]-PersonalCare20324456[Costo Real]</f>
        <v>400</v>
      </c>
      <c r="K47" s="19"/>
      <c r="L47" s="19"/>
    </row>
    <row r="48" spans="2:12" x14ac:dyDescent="0.25">
      <c r="B48" s="34" t="s">
        <v>3</v>
      </c>
      <c r="C48" s="41">
        <f>SUBTOTAL(109,Food17294153[Costo Presupuestado])</f>
        <v>6000</v>
      </c>
      <c r="D48" s="41">
        <f>SUBTOTAL(109,Food17294153[Costo Real])</f>
        <v>5500</v>
      </c>
      <c r="E48" s="41">
        <f>SUBTOTAL(109,Food17294153[Diferencia])</f>
        <v>500</v>
      </c>
      <c r="F48" s="3"/>
      <c r="G48" s="3" t="s">
        <v>75</v>
      </c>
      <c r="H48" s="40"/>
      <c r="I48" s="40"/>
      <c r="J48" s="4">
        <f>PersonalCare20324456[Costo Presupuestado]-PersonalCare20324456[Costo Real]</f>
        <v>0</v>
      </c>
      <c r="K48" s="19"/>
      <c r="L48" s="19"/>
    </row>
    <row r="49" spans="2:12" ht="25.5" customHeight="1" x14ac:dyDescent="0.25">
      <c r="B49" s="37"/>
      <c r="C49" s="37"/>
      <c r="D49" s="37"/>
      <c r="E49" s="37"/>
      <c r="F49" s="3"/>
      <c r="G49" s="3" t="s">
        <v>76</v>
      </c>
      <c r="H49" s="40"/>
      <c r="I49" s="40"/>
      <c r="J49" s="4">
        <f>PersonalCare20324456[Costo Presupuestado]-PersonalCare20324456[Costo Real]</f>
        <v>0</v>
      </c>
      <c r="K49" s="19"/>
      <c r="L49" s="19"/>
    </row>
    <row r="50" spans="2:12" ht="25.5" customHeight="1" x14ac:dyDescent="0.25">
      <c r="B50" s="16" t="s">
        <v>23</v>
      </c>
      <c r="C50" s="13" t="s">
        <v>18</v>
      </c>
      <c r="D50" s="13" t="s">
        <v>19</v>
      </c>
      <c r="E50" s="13" t="s">
        <v>8</v>
      </c>
      <c r="F50" s="3"/>
      <c r="G50" s="3" t="s">
        <v>64</v>
      </c>
      <c r="H50" s="40"/>
      <c r="I50" s="40"/>
      <c r="J50" s="4">
        <f>PersonalCare20324456[Costo Presupuestado]-PersonalCare20324456[Costo Real]</f>
        <v>0</v>
      </c>
      <c r="K50" s="19"/>
      <c r="L50" s="19"/>
    </row>
    <row r="51" spans="2:12" x14ac:dyDescent="0.25">
      <c r="B51" s="21" t="s">
        <v>65</v>
      </c>
      <c r="C51" s="40">
        <v>0</v>
      </c>
      <c r="D51" s="40">
        <v>0</v>
      </c>
      <c r="E51" s="4">
        <f>Children18304254[Costo Presupuestado]-Children18304254[Costo Real]</f>
        <v>0</v>
      </c>
      <c r="F51" s="3"/>
      <c r="G51" s="34" t="s">
        <v>3</v>
      </c>
      <c r="H51" s="49">
        <f>SUBTOTAL(109,PersonalCare20324456[Costo Presupuestado])</f>
        <v>1000</v>
      </c>
      <c r="I51" s="49">
        <f>SUBTOTAL(109,PersonalCare20324456[Costo Real])</f>
        <v>600</v>
      </c>
      <c r="J51" s="49">
        <f>SUBTOTAL(109,PersonalCare20324456[Diferencia])</f>
        <v>400</v>
      </c>
      <c r="K51" s="19"/>
      <c r="L51" s="19"/>
    </row>
    <row r="52" spans="2:12" x14ac:dyDescent="0.25">
      <c r="B52" s="21" t="s">
        <v>74</v>
      </c>
      <c r="C52" s="40">
        <v>0</v>
      </c>
      <c r="D52" s="40">
        <v>0</v>
      </c>
      <c r="E52" s="4">
        <f>Children18304254[Costo Presupuestado]-Children18304254[Costo Real]</f>
        <v>0</v>
      </c>
      <c r="F52" s="3"/>
      <c r="K52" s="19"/>
      <c r="L52" s="19"/>
    </row>
    <row r="53" spans="2:12" ht="38.25" x14ac:dyDescent="0.25">
      <c r="B53" s="21" t="s">
        <v>59</v>
      </c>
      <c r="C53" s="40">
        <v>0</v>
      </c>
      <c r="D53" s="40">
        <v>0</v>
      </c>
      <c r="E53" s="4">
        <f>Children18304254[Costo Presupuestado]-Children18304254[Costo Real]</f>
        <v>0</v>
      </c>
      <c r="F53" s="3"/>
      <c r="G53" s="22" t="s">
        <v>22</v>
      </c>
      <c r="H53" s="13" t="s">
        <v>18</v>
      </c>
      <c r="I53" s="13" t="s">
        <v>19</v>
      </c>
      <c r="J53" s="13" t="s">
        <v>8</v>
      </c>
      <c r="K53" s="19"/>
      <c r="L53" s="19"/>
    </row>
    <row r="54" spans="2:12" ht="25.5" x14ac:dyDescent="0.25">
      <c r="B54" s="21" t="s">
        <v>60</v>
      </c>
      <c r="C54" s="40">
        <v>0</v>
      </c>
      <c r="D54" s="40">
        <v>0</v>
      </c>
      <c r="E54" s="4">
        <f>Children18304254[Costo Presupuestado]-Children18304254[Costo Real]</f>
        <v>0</v>
      </c>
      <c r="F54" s="3"/>
      <c r="G54" s="3" t="s">
        <v>5</v>
      </c>
      <c r="H54" s="40"/>
      <c r="I54" s="40"/>
      <c r="J54" s="4">
        <f>Loans22344658[Costo Presupuestado]-Loans22344658[Costo Real]</f>
        <v>0</v>
      </c>
      <c r="K54" s="19"/>
      <c r="L54" s="19"/>
    </row>
    <row r="55" spans="2:12" ht="25.5" x14ac:dyDescent="0.25">
      <c r="B55" s="21" t="s">
        <v>4</v>
      </c>
      <c r="C55" s="40">
        <v>0</v>
      </c>
      <c r="D55" s="40">
        <v>0</v>
      </c>
      <c r="E55" s="4">
        <f>Children18304254[Costo Presupuestado]-Children18304254[Costo Real]</f>
        <v>0</v>
      </c>
      <c r="F55" s="3"/>
      <c r="G55" s="3" t="s">
        <v>68</v>
      </c>
      <c r="H55" s="40"/>
      <c r="I55" s="40"/>
      <c r="J55" s="4">
        <f>Loans22344658[Costo Presupuestado]-Loans22344658[Costo Real]</f>
        <v>0</v>
      </c>
      <c r="K55" s="19"/>
      <c r="L55" s="19"/>
    </row>
    <row r="56" spans="2:12" ht="25.5" x14ac:dyDescent="0.25">
      <c r="B56" s="21" t="s">
        <v>61</v>
      </c>
      <c r="C56" s="40">
        <v>0</v>
      </c>
      <c r="D56" s="40">
        <v>0</v>
      </c>
      <c r="E56" s="4">
        <f>Children18304254[Costo Presupuestado]-Children18304254[Costo Real]</f>
        <v>0</v>
      </c>
      <c r="F56" s="3"/>
      <c r="G56" s="3" t="s">
        <v>69</v>
      </c>
      <c r="H56" s="40"/>
      <c r="I56" s="40"/>
      <c r="J56" s="4">
        <f>Loans22344658[Costo Presupuestado]-Loans22344658[Costo Real]</f>
        <v>0</v>
      </c>
      <c r="K56" s="19"/>
      <c r="L56" s="19"/>
    </row>
    <row r="57" spans="2:12" x14ac:dyDescent="0.25">
      <c r="B57" s="21" t="s">
        <v>62</v>
      </c>
      <c r="C57" s="40">
        <v>0</v>
      </c>
      <c r="D57" s="40">
        <v>0</v>
      </c>
      <c r="E57" s="4">
        <f>Children18304254[Costo Presupuestado]-Children18304254[Costo Real]</f>
        <v>0</v>
      </c>
      <c r="F57" s="3"/>
      <c r="G57" s="3" t="s">
        <v>70</v>
      </c>
      <c r="H57" s="40"/>
      <c r="I57" s="40"/>
      <c r="J57" s="4">
        <f>Loans22344658[Costo Presupuestado]-Loans22344658[Costo Real]</f>
        <v>0</v>
      </c>
      <c r="K57" s="19"/>
      <c r="L57" s="19"/>
    </row>
    <row r="58" spans="2:12" x14ac:dyDescent="0.25">
      <c r="B58" s="21" t="s">
        <v>63</v>
      </c>
      <c r="C58" s="40">
        <v>0</v>
      </c>
      <c r="D58" s="40">
        <v>0</v>
      </c>
      <c r="E58" s="4">
        <f>Children18304254[Costo Presupuestado]-Children18304254[Costo Real]</f>
        <v>0</v>
      </c>
      <c r="F58" s="3"/>
      <c r="G58" s="3" t="s">
        <v>71</v>
      </c>
      <c r="H58" s="40"/>
      <c r="I58" s="40"/>
      <c r="J58" s="4">
        <f>Loans22344658[Costo Presupuestado]-Loans22344658[Costo Real]</f>
        <v>0</v>
      </c>
      <c r="K58" s="19"/>
      <c r="L58" s="19"/>
    </row>
    <row r="59" spans="2:12" x14ac:dyDescent="0.25">
      <c r="B59" s="21" t="s">
        <v>64</v>
      </c>
      <c r="C59" s="40">
        <v>0</v>
      </c>
      <c r="D59" s="40">
        <v>0</v>
      </c>
      <c r="E59" s="4">
        <f>Children18304254[Costo Presupuestado]-Children18304254[Costo Real]</f>
        <v>0</v>
      </c>
      <c r="F59" s="3"/>
      <c r="G59" s="3" t="s">
        <v>64</v>
      </c>
      <c r="H59" s="40"/>
      <c r="I59" s="40"/>
      <c r="J59" s="4">
        <f>Loans22344658[Costo Presupuestado]-Loans22344658[Costo Real]</f>
        <v>0</v>
      </c>
      <c r="K59" s="19"/>
      <c r="L59" s="19"/>
    </row>
    <row r="60" spans="2:12" x14ac:dyDescent="0.25">
      <c r="B60" s="34" t="s">
        <v>3</v>
      </c>
      <c r="C60" s="41">
        <f>SUBTOTAL(109,Children18304254[Costo Presupuestado])</f>
        <v>0</v>
      </c>
      <c r="D60" s="41">
        <f>SUBTOTAL(109,Children18304254[Costo Real])</f>
        <v>0</v>
      </c>
      <c r="E60" s="41">
        <f>SUBTOTAL(109,Children18304254[Diferencia])</f>
        <v>0</v>
      </c>
      <c r="F60" s="3"/>
      <c r="G60" s="34" t="s">
        <v>3</v>
      </c>
      <c r="H60" s="49">
        <f>SUBTOTAL(109,Loans22344658[Costo Presupuestado])</f>
        <v>0</v>
      </c>
      <c r="I60" s="49">
        <f>SUBTOTAL(109,Loans22344658[Costo Real])</f>
        <v>0</v>
      </c>
      <c r="J60" s="49">
        <f>SUBTOTAL(109,Loans22344658[Diferencia])</f>
        <v>0</v>
      </c>
      <c r="K60" s="19"/>
      <c r="L60" s="19"/>
    </row>
    <row r="61" spans="2:12" x14ac:dyDescent="0.25">
      <c r="F61" s="3"/>
      <c r="K61" s="19"/>
      <c r="L61" s="19"/>
    </row>
    <row r="62" spans="2:12" ht="25.5" x14ac:dyDescent="0.25">
      <c r="F62" s="3"/>
      <c r="G62" s="15" t="s">
        <v>21</v>
      </c>
      <c r="H62" s="13" t="s">
        <v>18</v>
      </c>
      <c r="I62" s="13" t="s">
        <v>19</v>
      </c>
      <c r="J62" s="13" t="s">
        <v>8</v>
      </c>
      <c r="K62" s="19"/>
      <c r="L62" s="19"/>
    </row>
    <row r="63" spans="2:12" x14ac:dyDescent="0.25">
      <c r="F63" s="3"/>
      <c r="G63" s="3" t="s">
        <v>66</v>
      </c>
      <c r="H63" s="40"/>
      <c r="I63" s="40"/>
      <c r="J63" s="4">
        <f>Legal25374961[Costo Presupuestado]-Legal25374961[Costo Real]</f>
        <v>0</v>
      </c>
      <c r="K63" s="19"/>
      <c r="L63" s="19"/>
    </row>
    <row r="64" spans="2:12" x14ac:dyDescent="0.25">
      <c r="F64" s="3"/>
      <c r="G64" s="3" t="s">
        <v>67</v>
      </c>
      <c r="H64" s="40"/>
      <c r="I64" s="40"/>
      <c r="J64" s="4">
        <f>Legal25374961[Costo Presupuestado]-Legal25374961[Costo Real]</f>
        <v>0</v>
      </c>
      <c r="K64" s="19"/>
      <c r="L64" s="19"/>
    </row>
    <row r="65" spans="6:12" x14ac:dyDescent="0.25">
      <c r="F65" s="3"/>
      <c r="G65" s="3" t="s">
        <v>64</v>
      </c>
      <c r="H65" s="40"/>
      <c r="I65" s="40"/>
      <c r="J65" s="4">
        <f>Legal25374961[Costo Presupuestado]-Legal25374961[Costo Real]</f>
        <v>0</v>
      </c>
      <c r="K65" s="19"/>
      <c r="L65" s="19"/>
    </row>
    <row r="66" spans="6:12" x14ac:dyDescent="0.25">
      <c r="F66" s="3"/>
      <c r="G66" s="34" t="s">
        <v>3</v>
      </c>
      <c r="H66" s="41">
        <f>SUBTOTAL(109,Legal25374961[Costo Presupuestado])</f>
        <v>0</v>
      </c>
      <c r="I66" s="41">
        <f>SUBTOTAL(109,Legal25374961[Costo Real])</f>
        <v>0</v>
      </c>
      <c r="J66" s="41">
        <f>SUBTOTAL(109,Legal25374961[Diferencia])</f>
        <v>0</v>
      </c>
      <c r="K66" s="19"/>
      <c r="L66" s="19"/>
    </row>
    <row r="67" spans="6:12" x14ac:dyDescent="0.25">
      <c r="F67" s="3"/>
      <c r="K67" s="19"/>
      <c r="L67" s="19"/>
    </row>
    <row r="68" spans="6:12" x14ac:dyDescent="0.25">
      <c r="F68" s="3"/>
      <c r="K68" s="19"/>
      <c r="L68" s="19"/>
    </row>
    <row r="69" spans="6:12" x14ac:dyDescent="0.25">
      <c r="F69" s="3"/>
      <c r="K69" s="19"/>
      <c r="L69" s="19"/>
    </row>
    <row r="70" spans="6:12" x14ac:dyDescent="0.25">
      <c r="K70" s="19"/>
      <c r="L70" s="19"/>
    </row>
  </sheetData>
  <mergeCells count="6">
    <mergeCell ref="B1:H1"/>
    <mergeCell ref="B3:C3"/>
    <mergeCell ref="G3:H3"/>
    <mergeCell ref="G9:H9"/>
    <mergeCell ref="Q11:R11"/>
    <mergeCell ref="Q17:R17"/>
  </mergeCells>
  <conditionalFormatting sqref="J54:J59 J37:J41 J31:J33 J21:J27 E15:E24 E51:E59 E45:E47 E38:E41 H17 E28:E34 J63:J65 J45:J50 E7:E11">
    <cfRule type="iconSet" priority="1">
      <iconSet iconSet="3Arrows">
        <cfvo type="percentile" val="0"/>
        <cfvo type="num" val="-50"/>
        <cfvo type="num" val="50"/>
      </iconSet>
    </cfRule>
  </conditionalFormatting>
  <conditionalFormatting sqref="E15:E24">
    <cfRule type="iconSet" priority="2">
      <iconSet iconSet="4Arrows">
        <cfvo type="percent" val="0"/>
        <cfvo type="percent" val="25"/>
        <cfvo type="percent" val="50"/>
        <cfvo type="percent" val="75"/>
      </iconSet>
    </cfRule>
  </conditionalFormatting>
  <pageMargins left="0.7" right="0.7" top="0.75" bottom="0.75" header="0.3" footer="0.3"/>
  <drawing r:id="rId1"/>
  <tableParts count="1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0"/>
  <sheetViews>
    <sheetView workbookViewId="0">
      <selection activeCell="F3" sqref="F3"/>
    </sheetView>
  </sheetViews>
  <sheetFormatPr defaultRowHeight="15" x14ac:dyDescent="0.25"/>
  <cols>
    <col min="1" max="1" width="5" style="17" customWidth="1"/>
    <col min="2" max="2" width="17.42578125" style="17" customWidth="1"/>
    <col min="3" max="3" width="17.5703125" style="17" bestFit="1" customWidth="1"/>
    <col min="4" max="4" width="14" style="17" bestFit="1" customWidth="1"/>
    <col min="5" max="5" width="13" style="17" customWidth="1"/>
    <col min="6" max="6" width="5.5703125" style="17" customWidth="1"/>
    <col min="7" max="7" width="15.42578125" style="17" customWidth="1"/>
    <col min="8" max="8" width="14.7109375" style="17" bestFit="1" customWidth="1"/>
    <col min="9" max="9" width="12" style="17" bestFit="1" customWidth="1"/>
    <col min="10" max="10" width="10.85546875" style="17" bestFit="1" customWidth="1"/>
    <col min="11" max="16384" width="9.140625" style="17"/>
  </cols>
  <sheetData>
    <row r="1" spans="1:18" ht="62.25" customHeight="1" x14ac:dyDescent="0.3">
      <c r="A1" s="19"/>
      <c r="B1" s="51"/>
      <c r="C1" s="51"/>
      <c r="D1" s="51"/>
      <c r="E1" s="51"/>
      <c r="F1" s="51"/>
      <c r="G1" s="51"/>
      <c r="H1" s="51"/>
      <c r="I1" s="1"/>
      <c r="J1" s="1"/>
      <c r="K1" s="19"/>
      <c r="L1" s="19"/>
    </row>
    <row r="2" spans="1:18" ht="18.75" customHeight="1" thickBot="1" x14ac:dyDescent="0.3">
      <c r="A2" s="19"/>
      <c r="B2" s="38"/>
      <c r="C2" s="38"/>
      <c r="D2" s="38"/>
      <c r="E2" s="38"/>
      <c r="F2" s="38"/>
      <c r="G2" s="38"/>
      <c r="H2" s="38"/>
      <c r="I2" s="38"/>
      <c r="J2" s="38"/>
      <c r="K2" s="19"/>
      <c r="L2" s="19"/>
    </row>
    <row r="3" spans="1:18" ht="26.25" thickBot="1" x14ac:dyDescent="0.3">
      <c r="B3" s="52" t="s">
        <v>6</v>
      </c>
      <c r="C3" s="53"/>
      <c r="D3" s="23" t="s">
        <v>7</v>
      </c>
      <c r="E3" s="24" t="s">
        <v>8</v>
      </c>
      <c r="F3" s="2"/>
      <c r="G3" s="54" t="s">
        <v>9</v>
      </c>
      <c r="H3" s="55"/>
      <c r="I3" s="2"/>
      <c r="J3" s="2"/>
      <c r="K3" s="19"/>
      <c r="L3" s="19"/>
      <c r="Q3" s="19"/>
      <c r="R3" s="19"/>
    </row>
    <row r="4" spans="1:18" ht="15.75" thickBot="1" x14ac:dyDescent="0.3">
      <c r="B4" s="25"/>
      <c r="C4" s="50">
        <f>Housing1126385062[[#Totals],[Costo Presupuestado]]+Transportation1527395163[[#Totals],[Costo Presupuestado]]+Insurance1628405264[[#Totals],[Costo Presupuestado]]+Food1729415365[[#Totals],[Costo Presupuestado]]+Children1830425466[[#Totals],[Costo Presupuestado]]+Legal2537496173[[#Totals],[Costo Presupuestado]]+Savings2335475971[[#Totals],[Costo Presupuestado]]+Loans2234465870[[#Totals],[Costo Presupuestado]]+Entertainment2133455769[[#Totals],[Costo Presupuestado]]+PersonalCare2032445668[[#Totals],[Costo Presupuestado]]+Pets1931435567[[#Totals],[Costo Presupuestado]]+Gifts2436486072[[#Totals],[Costo Presupuestado]]</f>
        <v>44250</v>
      </c>
      <c r="D4" s="50">
        <f>Housing1126385062[[#Totals],[Costo Real]]+Transportation1527395163[[#Totals],[Costo Real]]+Insurance1628405264[[#Totals],[Costo Real]]+Food1729415365[[#Totals],[Costo Real]]+Children1830425466[[#Totals],[Costo Real]]+Legal2537496173[[#Totals],[Costo Real]]+Savings2335475971[[#Totals],[Costo Real]]+Loans2234465870[[#Totals],[Costo Real]]+Entertainment2133455769[[#Totals],[Costo Real]]+PersonalCare2032445668[[#Totals],[Costo Real]]+Pets1931435567[[#Totals],[Costo Real]]+Gifts2436486072[[#Totals],[Costo Real]]</f>
        <v>39844</v>
      </c>
      <c r="E4" s="45">
        <f>Housing1126385062[[#Totals],[Diferencia]]+Transportation1527395163[[#Totals],[Diferencia]]+Insurance1628405264[[#Totals],[Diferencia]]+Food1729415365[[#Totals],[Diferencia]]+Children1830425466[[#Totals],[Diferencia]]+Legal2537496173[[#Totals],[Diferencia]]+Savings2335475971[[#Totals],[Diferencia]]+Loans2234465870[[#Totals],[Diferencia]]+Entertainment2133455769[[#Totals],[Diferencia]]+PersonalCare2032445668[[#Totals],[Diferencia]]+Pets1931435567[[#Totals],[Diferencia]]+Gifts2436486072[[#Totals],[Diferencia]]</f>
        <v>4406</v>
      </c>
      <c r="F4" s="2"/>
      <c r="G4" s="39" t="s">
        <v>10</v>
      </c>
      <c r="H4" s="48">
        <v>50000</v>
      </c>
      <c r="I4" s="2"/>
      <c r="J4" s="2"/>
      <c r="K4" s="19"/>
      <c r="L4" s="19"/>
      <c r="Q4" s="19"/>
      <c r="R4" s="19"/>
    </row>
    <row r="5" spans="1:18" ht="25.5" x14ac:dyDescent="0.25">
      <c r="F5" s="3"/>
      <c r="G5" s="26" t="s">
        <v>11</v>
      </c>
      <c r="H5" s="46">
        <v>5000</v>
      </c>
      <c r="I5" s="3"/>
      <c r="J5" s="3"/>
      <c r="K5" s="19"/>
      <c r="L5" s="19"/>
      <c r="Q5" s="19"/>
      <c r="R5" s="19"/>
    </row>
    <row r="6" spans="1:18" ht="25.5" x14ac:dyDescent="0.25">
      <c r="B6" s="33" t="s">
        <v>20</v>
      </c>
      <c r="C6" s="13" t="s">
        <v>18</v>
      </c>
      <c r="D6" s="13" t="s">
        <v>19</v>
      </c>
      <c r="E6" s="13" t="s">
        <v>8</v>
      </c>
      <c r="F6" s="3"/>
      <c r="G6" s="26" t="s">
        <v>12</v>
      </c>
      <c r="H6" s="46">
        <v>0</v>
      </c>
      <c r="I6" s="3"/>
      <c r="J6" s="3"/>
      <c r="K6" s="19"/>
      <c r="L6" s="19"/>
      <c r="Q6" s="19"/>
      <c r="R6" s="19"/>
    </row>
    <row r="7" spans="1:18" ht="26.25" thickBot="1" x14ac:dyDescent="0.3">
      <c r="B7" s="3" t="s">
        <v>77</v>
      </c>
      <c r="C7" s="40">
        <v>5000</v>
      </c>
      <c r="D7" s="40">
        <v>5000</v>
      </c>
      <c r="E7" s="40">
        <f>Savings2335475971[Costo Presupuestado]-Savings2335475971[Costo Real]</f>
        <v>0</v>
      </c>
      <c r="F7" s="3"/>
      <c r="G7" s="27" t="s">
        <v>13</v>
      </c>
      <c r="H7" s="47">
        <f>SUM(H4:H6)</f>
        <v>55000</v>
      </c>
      <c r="I7" s="3"/>
      <c r="J7" s="3"/>
      <c r="K7" s="19"/>
      <c r="L7" s="19"/>
      <c r="Q7" s="19"/>
      <c r="R7" s="19"/>
    </row>
    <row r="8" spans="1:18" ht="15.75" thickBot="1" x14ac:dyDescent="0.3">
      <c r="B8" s="3" t="s">
        <v>78</v>
      </c>
      <c r="C8" s="40"/>
      <c r="D8" s="40"/>
      <c r="E8" s="40">
        <f>Savings2335475971[Costo Presupuestado]-Savings2335475971[Costo Real]</f>
        <v>0</v>
      </c>
      <c r="F8" s="3"/>
      <c r="G8" s="5"/>
      <c r="H8" s="6"/>
      <c r="I8" s="18"/>
      <c r="J8" s="18"/>
      <c r="K8" s="19"/>
      <c r="L8" s="19"/>
      <c r="Q8" s="19"/>
      <c r="R8" s="19"/>
    </row>
    <row r="9" spans="1:18" ht="25.5" x14ac:dyDescent="0.25">
      <c r="B9" s="3" t="s">
        <v>81</v>
      </c>
      <c r="C9" s="40"/>
      <c r="D9" s="40"/>
      <c r="E9" s="40">
        <f>Savings2335475971[Costo Presupuestado]-Savings2335475971[Costo Real]</f>
        <v>0</v>
      </c>
      <c r="F9" s="3"/>
      <c r="G9" s="56" t="s">
        <v>14</v>
      </c>
      <c r="H9" s="57"/>
      <c r="I9" s="3"/>
      <c r="J9" s="3"/>
      <c r="K9" s="19" t="s">
        <v>0</v>
      </c>
      <c r="L9" s="19"/>
      <c r="Q9" s="19"/>
      <c r="R9" s="19"/>
    </row>
    <row r="10" spans="1:18" x14ac:dyDescent="0.25">
      <c r="B10" s="36" t="s">
        <v>80</v>
      </c>
      <c r="C10" s="42"/>
      <c r="D10" s="42"/>
      <c r="E10" s="40">
        <f>Savings2335475971[Costo Presupuestado]-Savings2335475971[Costo Real]</f>
        <v>0</v>
      </c>
      <c r="F10" s="3"/>
      <c r="G10" s="26" t="s">
        <v>10</v>
      </c>
      <c r="H10" s="46">
        <v>48000</v>
      </c>
      <c r="I10" s="3"/>
      <c r="J10" s="3"/>
      <c r="K10" s="19"/>
      <c r="L10" s="19"/>
      <c r="Q10" s="19"/>
      <c r="R10" s="19"/>
    </row>
    <row r="11" spans="1:18" ht="25.5" x14ac:dyDescent="0.25">
      <c r="B11" s="3" t="s">
        <v>79</v>
      </c>
      <c r="C11" s="40"/>
      <c r="D11" s="40"/>
      <c r="E11" s="40">
        <f>Savings2335475971[Costo Presupuestado]-Savings2335475971[Costo Real]</f>
        <v>0</v>
      </c>
      <c r="F11" s="3"/>
      <c r="G11" s="26" t="s">
        <v>11</v>
      </c>
      <c r="H11" s="46">
        <v>4500</v>
      </c>
      <c r="I11" s="3"/>
      <c r="J11" s="3"/>
      <c r="K11" s="19"/>
      <c r="L11" s="19"/>
      <c r="Q11" s="58"/>
      <c r="R11" s="58"/>
    </row>
    <row r="12" spans="1:18" x14ac:dyDescent="0.25">
      <c r="B12" s="34" t="s">
        <v>3</v>
      </c>
      <c r="C12" s="41">
        <f>SUBTOTAL(109,Savings2335475971[Costo Presupuestado])</f>
        <v>5000</v>
      </c>
      <c r="D12" s="41">
        <f>SUBTOTAL(109,Savings2335475971[Costo Real])</f>
        <v>5000</v>
      </c>
      <c r="E12" s="41">
        <f>SUBTOTAL(109,Savings2335475971[Diferencia])</f>
        <v>0</v>
      </c>
      <c r="F12" s="3"/>
      <c r="G12" s="26" t="s">
        <v>12</v>
      </c>
      <c r="H12" s="46">
        <v>0</v>
      </c>
      <c r="I12" s="3"/>
      <c r="J12" s="3"/>
      <c r="K12" s="19"/>
      <c r="L12" s="19"/>
      <c r="Q12" s="7"/>
      <c r="R12" s="8"/>
    </row>
    <row r="13" spans="1:18" ht="26.25" thickBot="1" x14ac:dyDescent="0.3">
      <c r="F13" s="3"/>
      <c r="G13" s="27" t="s">
        <v>13</v>
      </c>
      <c r="H13" s="47">
        <f>SUM(H10:H12)</f>
        <v>52500</v>
      </c>
      <c r="I13" s="3"/>
      <c r="J13" s="3"/>
      <c r="K13" s="19"/>
      <c r="L13" s="19"/>
      <c r="Q13" s="7"/>
      <c r="R13" s="8"/>
    </row>
    <row r="14" spans="1:18" ht="26.25" thickBot="1" x14ac:dyDescent="0.3">
      <c r="B14" s="12" t="s">
        <v>17</v>
      </c>
      <c r="C14" s="13" t="s">
        <v>18</v>
      </c>
      <c r="D14" s="13" t="s">
        <v>19</v>
      </c>
      <c r="E14" s="13" t="s">
        <v>8</v>
      </c>
      <c r="F14" s="3"/>
      <c r="G14" s="2"/>
      <c r="H14" s="2"/>
      <c r="I14" s="3"/>
      <c r="J14" s="3"/>
      <c r="K14" s="19"/>
      <c r="L14" s="19"/>
      <c r="Q14" s="7"/>
      <c r="R14" s="8"/>
    </row>
    <row r="15" spans="1:18" ht="25.5" x14ac:dyDescent="0.25">
      <c r="B15" s="3" t="s">
        <v>36</v>
      </c>
      <c r="C15" s="40">
        <v>16000</v>
      </c>
      <c r="D15" s="40">
        <v>16000</v>
      </c>
      <c r="E15" s="4">
        <f>Housing1126385062[Costo Presupuestado]-Housing1126385062[Costo Real]</f>
        <v>0</v>
      </c>
      <c r="F15" s="3"/>
      <c r="G15" s="29" t="s">
        <v>15</v>
      </c>
      <c r="H15" s="43">
        <f>SUM(H7-C4)</f>
        <v>10750</v>
      </c>
      <c r="I15" s="3"/>
      <c r="J15" s="3"/>
      <c r="K15" s="19"/>
      <c r="L15" s="19"/>
      <c r="Q15" s="7"/>
      <c r="R15" s="8"/>
    </row>
    <row r="16" spans="1:18" ht="25.5" customHeight="1" x14ac:dyDescent="0.25">
      <c r="B16" s="3" t="s">
        <v>37</v>
      </c>
      <c r="C16" s="40">
        <v>0</v>
      </c>
      <c r="D16" s="40">
        <v>0</v>
      </c>
      <c r="E16" s="4">
        <f>Housing1126385062[Costo Presupuestado]-Housing1126385062[Costo Real]</f>
        <v>0</v>
      </c>
      <c r="F16" s="3"/>
      <c r="G16" s="30" t="s">
        <v>16</v>
      </c>
      <c r="H16" s="44">
        <f>SUM(H13-D4)</f>
        <v>12656</v>
      </c>
      <c r="I16" s="3"/>
      <c r="J16" s="3"/>
      <c r="K16" s="19"/>
      <c r="L16" s="19"/>
      <c r="Q16" s="10"/>
      <c r="R16" s="2"/>
    </row>
    <row r="17" spans="2:18" ht="15.75" thickBot="1" x14ac:dyDescent="0.3">
      <c r="B17" s="3" t="s">
        <v>38</v>
      </c>
      <c r="C17" s="40">
        <v>0</v>
      </c>
      <c r="D17" s="40">
        <v>0</v>
      </c>
      <c r="E17" s="4">
        <f>Housing1126385062[Costo Presupuestado]-Housing1126385062[Costo Real]</f>
        <v>0</v>
      </c>
      <c r="F17" s="3"/>
      <c r="G17" s="31" t="s">
        <v>8</v>
      </c>
      <c r="H17" s="45">
        <f>SUM(H16-H15)</f>
        <v>1906</v>
      </c>
      <c r="I17" s="3"/>
      <c r="J17" s="3"/>
      <c r="K17" s="19"/>
      <c r="L17" s="19"/>
      <c r="Q17" s="58"/>
      <c r="R17" s="58"/>
    </row>
    <row r="18" spans="2:18" x14ac:dyDescent="0.25">
      <c r="B18" s="3" t="s">
        <v>31</v>
      </c>
      <c r="C18" s="40">
        <v>200</v>
      </c>
      <c r="D18" s="40">
        <v>200</v>
      </c>
      <c r="E18" s="4">
        <f>Housing1126385062[Costo Presupuestado]-Housing1126385062[Costo Real]</f>
        <v>0</v>
      </c>
      <c r="F18" s="3"/>
      <c r="G18" s="3"/>
      <c r="H18" s="3"/>
      <c r="I18" s="3"/>
      <c r="J18" s="3"/>
      <c r="K18" s="19"/>
      <c r="L18" s="19"/>
      <c r="Q18" s="7"/>
      <c r="R18" s="8"/>
    </row>
    <row r="19" spans="2:18" x14ac:dyDescent="0.25">
      <c r="B19" s="3" t="s">
        <v>32</v>
      </c>
      <c r="C19" s="40">
        <v>100</v>
      </c>
      <c r="D19" s="40">
        <v>100</v>
      </c>
      <c r="E19" s="4">
        <f>Housing1126385062[Costo Presupuestado]-Housing1126385062[Costo Real]</f>
        <v>0</v>
      </c>
      <c r="F19" s="3"/>
      <c r="G19" s="18"/>
      <c r="H19" s="18"/>
      <c r="I19" s="18"/>
      <c r="J19" s="18"/>
      <c r="K19" s="19"/>
      <c r="L19" s="19"/>
      <c r="Q19" s="7"/>
      <c r="R19" s="8"/>
    </row>
    <row r="20" spans="2:18" ht="25.5" x14ac:dyDescent="0.25">
      <c r="B20" s="3" t="s">
        <v>33</v>
      </c>
      <c r="C20" s="40">
        <v>0</v>
      </c>
      <c r="D20" s="40">
        <v>0</v>
      </c>
      <c r="E20" s="4">
        <f>Housing1126385062[Costo Presupuestado]-Housing1126385062[Costo Real]</f>
        <v>0</v>
      </c>
      <c r="F20" s="3"/>
      <c r="G20" s="14" t="s">
        <v>29</v>
      </c>
      <c r="H20" s="13" t="s">
        <v>18</v>
      </c>
      <c r="I20" s="13" t="s">
        <v>19</v>
      </c>
      <c r="J20" s="13" t="s">
        <v>8</v>
      </c>
      <c r="K20" s="19"/>
      <c r="L20" s="19"/>
      <c r="Q20" s="7"/>
      <c r="R20" s="8"/>
    </row>
    <row r="21" spans="2:18" ht="25.5" x14ac:dyDescent="0.25">
      <c r="B21" s="3" t="s">
        <v>1</v>
      </c>
      <c r="C21" s="40">
        <v>1000</v>
      </c>
      <c r="D21" s="40">
        <v>900</v>
      </c>
      <c r="E21" s="4">
        <f>Housing1126385062[Costo Presupuestado]-Housing1126385062[Costo Real]</f>
        <v>100</v>
      </c>
      <c r="F21" s="3"/>
      <c r="G21" s="3" t="s">
        <v>87</v>
      </c>
      <c r="H21" s="40">
        <v>0</v>
      </c>
      <c r="I21" s="40">
        <v>0</v>
      </c>
      <c r="J21" s="4">
        <f>Entertainment2133455769[Costo Presupuestado]-Entertainment2133455769[Costo Real]</f>
        <v>0</v>
      </c>
      <c r="K21" s="19"/>
      <c r="L21" s="19"/>
      <c r="Q21" s="7"/>
      <c r="R21" s="8"/>
    </row>
    <row r="22" spans="2:18" ht="25.5" customHeight="1" x14ac:dyDescent="0.25">
      <c r="B22" s="3" t="s">
        <v>2</v>
      </c>
      <c r="C22" s="40">
        <v>450</v>
      </c>
      <c r="D22" s="40">
        <v>400</v>
      </c>
      <c r="E22" s="4">
        <f>Housing1126385062[Costo Presupuestado]-Housing1126385062[Costo Real]</f>
        <v>50</v>
      </c>
      <c r="F22" s="3"/>
      <c r="G22" s="3" t="s">
        <v>86</v>
      </c>
      <c r="H22" s="40">
        <v>5000</v>
      </c>
      <c r="I22" s="40">
        <v>4000</v>
      </c>
      <c r="J22" s="4">
        <f>Entertainment2133455769[Costo Presupuestado]-Entertainment2133455769[Costo Real]</f>
        <v>1000</v>
      </c>
      <c r="K22" s="19"/>
      <c r="L22" s="19"/>
      <c r="Q22" s="2"/>
      <c r="R22" s="2"/>
    </row>
    <row r="23" spans="2:18" x14ac:dyDescent="0.25">
      <c r="B23" s="3" t="s">
        <v>34</v>
      </c>
      <c r="C23" s="40">
        <v>1800</v>
      </c>
      <c r="D23" s="40">
        <v>1600</v>
      </c>
      <c r="E23" s="9">
        <f>Housing1126385062[Costo Presupuestado]-Housing1126385062[Costo Real]</f>
        <v>200</v>
      </c>
      <c r="F23" s="3"/>
      <c r="G23" s="3" t="s">
        <v>82</v>
      </c>
      <c r="H23" s="40">
        <v>700</v>
      </c>
      <c r="I23" s="40">
        <v>1000</v>
      </c>
      <c r="J23" s="4">
        <f>Entertainment2133455769[Costo Presupuestado]-Entertainment2133455769[Costo Real]</f>
        <v>-300</v>
      </c>
      <c r="K23" s="19"/>
      <c r="L23" s="19"/>
      <c r="Q23" s="20"/>
      <c r="R23" s="11"/>
    </row>
    <row r="24" spans="2:18" x14ac:dyDescent="0.25">
      <c r="B24" s="3" t="s">
        <v>35</v>
      </c>
      <c r="C24" s="40">
        <v>500</v>
      </c>
      <c r="D24" s="40">
        <v>44</v>
      </c>
      <c r="E24" s="4">
        <f>Housing1126385062[Costo Presupuestado]-Housing1126385062[Costo Real]</f>
        <v>456</v>
      </c>
      <c r="F24" s="3"/>
      <c r="G24" s="3" t="s">
        <v>83</v>
      </c>
      <c r="H24" s="40">
        <v>0</v>
      </c>
      <c r="I24" s="40">
        <v>0</v>
      </c>
      <c r="J24" s="4">
        <f>Entertainment2133455769[Costo Presupuestado]-Entertainment2133455769[Costo Real]</f>
        <v>0</v>
      </c>
      <c r="K24" s="19"/>
      <c r="L24" s="19"/>
    </row>
    <row r="25" spans="2:18" ht="25.5" x14ac:dyDescent="0.25">
      <c r="B25" s="21" t="s">
        <v>3</v>
      </c>
      <c r="C25" s="40">
        <f>SUBTOTAL(109,Housing1126385062[Costo Presupuestado])</f>
        <v>20050</v>
      </c>
      <c r="D25" s="40">
        <f>SUBTOTAL(109,Housing1126385062[Costo Real])</f>
        <v>19244</v>
      </c>
      <c r="E25" s="40">
        <f>SUBTOTAL(109,Housing1126385062[Diferencia])</f>
        <v>806</v>
      </c>
      <c r="F25" s="3"/>
      <c r="G25" s="3" t="s">
        <v>84</v>
      </c>
      <c r="H25" s="40">
        <v>0</v>
      </c>
      <c r="I25" s="40">
        <v>0</v>
      </c>
      <c r="J25" s="4">
        <f>Entertainment2133455769[Costo Presupuestado]-Entertainment2133455769[Costo Real]</f>
        <v>0</v>
      </c>
      <c r="K25" s="19"/>
      <c r="L25" s="19"/>
    </row>
    <row r="26" spans="2:18" x14ac:dyDescent="0.25">
      <c r="B26" s="37"/>
      <c r="C26" s="37"/>
      <c r="D26" s="37"/>
      <c r="E26" s="37"/>
      <c r="F26" s="3"/>
      <c r="G26" s="3" t="s">
        <v>85</v>
      </c>
      <c r="H26" s="40">
        <v>0</v>
      </c>
      <c r="I26" s="40">
        <v>0</v>
      </c>
      <c r="J26" s="4">
        <f>Entertainment2133455769[Costo Presupuestado]-Entertainment2133455769[Costo Real]</f>
        <v>0</v>
      </c>
      <c r="K26" s="19"/>
      <c r="L26" s="19"/>
    </row>
    <row r="27" spans="2:18" ht="25.5" x14ac:dyDescent="0.25">
      <c r="B27" s="28" t="s">
        <v>30</v>
      </c>
      <c r="C27" s="13" t="s">
        <v>18</v>
      </c>
      <c r="D27" s="13" t="s">
        <v>19</v>
      </c>
      <c r="E27" s="13" t="s">
        <v>8</v>
      </c>
      <c r="F27" s="3"/>
      <c r="G27" s="3" t="s">
        <v>64</v>
      </c>
      <c r="H27" s="40"/>
      <c r="I27" s="40"/>
      <c r="J27" s="4">
        <f>Entertainment2133455769[Costo Presupuestado]-Entertainment2133455769[Costo Real]</f>
        <v>0</v>
      </c>
      <c r="K27" s="19"/>
      <c r="L27" s="19"/>
    </row>
    <row r="28" spans="2:18" ht="25.5" x14ac:dyDescent="0.25">
      <c r="B28" s="3" t="s">
        <v>43</v>
      </c>
      <c r="C28" s="40">
        <v>0</v>
      </c>
      <c r="D28" s="40">
        <v>0</v>
      </c>
      <c r="E28" s="4">
        <f>Transportation1527395163[Costo Presupuestado]-Transportation1527395163[Costo Real]</f>
        <v>0</v>
      </c>
      <c r="F28" s="3"/>
      <c r="G28" s="34" t="s">
        <v>3</v>
      </c>
      <c r="H28" s="35">
        <f>SUBTOTAL(109,Entertainment2133455769[Costo Presupuestado])</f>
        <v>5700</v>
      </c>
      <c r="I28" s="35">
        <f>SUBTOTAL(109,Entertainment2133455769[Costo Real])</f>
        <v>5000</v>
      </c>
      <c r="J28" s="35">
        <f>SUBTOTAL(109,Entertainment2133455769[Diferencia])</f>
        <v>700</v>
      </c>
      <c r="K28" s="19"/>
      <c r="L28" s="19"/>
    </row>
    <row r="29" spans="2:18" ht="25.5" x14ac:dyDescent="0.25">
      <c r="B29" s="3" t="s">
        <v>44</v>
      </c>
      <c r="C29" s="40">
        <v>0</v>
      </c>
      <c r="D29" s="40">
        <v>0</v>
      </c>
      <c r="E29" s="4">
        <f>Transportation1527395163[Costo Presupuestado]-Transportation1527395163[Costo Real]</f>
        <v>0</v>
      </c>
      <c r="F29" s="3"/>
      <c r="K29" s="19"/>
      <c r="L29" s="19"/>
    </row>
    <row r="30" spans="2:18" ht="25.5" x14ac:dyDescent="0.25">
      <c r="B30" s="3" t="s">
        <v>39</v>
      </c>
      <c r="C30" s="40">
        <v>0</v>
      </c>
      <c r="D30" s="40">
        <v>0</v>
      </c>
      <c r="E30" s="4">
        <f>Transportation1527395163[Costo Presupuestado]-Transportation1527395163[Costo Real]</f>
        <v>0</v>
      </c>
      <c r="F30" s="3"/>
      <c r="G30" s="15" t="s">
        <v>28</v>
      </c>
      <c r="H30" s="13" t="s">
        <v>18</v>
      </c>
      <c r="I30" s="13" t="s">
        <v>19</v>
      </c>
      <c r="J30" s="13" t="s">
        <v>8</v>
      </c>
      <c r="K30" s="19"/>
      <c r="L30" s="19"/>
    </row>
    <row r="31" spans="2:18" x14ac:dyDescent="0.25">
      <c r="B31" s="3" t="s">
        <v>40</v>
      </c>
      <c r="C31" s="40">
        <v>6000</v>
      </c>
      <c r="D31" s="40">
        <v>4000</v>
      </c>
      <c r="E31" s="4">
        <f>Transportation1527395163[Costo Presupuestado]-Transportation1527395163[Costo Real]</f>
        <v>2000</v>
      </c>
      <c r="F31" s="3"/>
      <c r="G31" s="3" t="s">
        <v>49</v>
      </c>
      <c r="H31" s="40"/>
      <c r="I31" s="40">
        <v>0</v>
      </c>
      <c r="J31" s="4">
        <f>Gifts2436486072[Costo Presupuestado]-Gifts2436486072[Costo Real]</f>
        <v>0</v>
      </c>
      <c r="K31" s="19"/>
      <c r="L31" s="19"/>
    </row>
    <row r="32" spans="2:18" x14ac:dyDescent="0.25">
      <c r="B32" s="3" t="s">
        <v>41</v>
      </c>
      <c r="C32" s="40">
        <v>0</v>
      </c>
      <c r="D32" s="40">
        <v>0</v>
      </c>
      <c r="E32" s="4">
        <f>Transportation1527395163[Costo Presupuestado]-Transportation1527395163[Costo Real]</f>
        <v>0</v>
      </c>
      <c r="F32" s="3"/>
      <c r="G32" s="3" t="s">
        <v>50</v>
      </c>
      <c r="H32" s="40"/>
      <c r="I32" s="40"/>
      <c r="J32" s="4">
        <f>Gifts2436486072[Costo Presupuestado]-Gifts2436486072[Costo Real]</f>
        <v>0</v>
      </c>
      <c r="K32" s="19"/>
      <c r="L32" s="19"/>
    </row>
    <row r="33" spans="2:12" x14ac:dyDescent="0.25">
      <c r="B33" s="3" t="s">
        <v>42</v>
      </c>
      <c r="C33" s="40">
        <v>0</v>
      </c>
      <c r="D33" s="40">
        <v>0</v>
      </c>
      <c r="E33" s="4">
        <f>Transportation1527395163[Costo Presupuestado]-Transportation1527395163[Costo Real]</f>
        <v>0</v>
      </c>
      <c r="F33" s="3"/>
      <c r="G33" s="3" t="s">
        <v>51</v>
      </c>
      <c r="H33" s="40"/>
      <c r="I33" s="40"/>
      <c r="J33" s="4">
        <f>Gifts2436486072[Costo Presupuestado]-Gifts2436486072[Costo Real]</f>
        <v>0</v>
      </c>
      <c r="K33" s="19"/>
      <c r="L33" s="19"/>
    </row>
    <row r="34" spans="2:12" x14ac:dyDescent="0.25">
      <c r="B34" s="3" t="s">
        <v>38</v>
      </c>
      <c r="C34" s="40">
        <v>0</v>
      </c>
      <c r="D34" s="40">
        <v>0</v>
      </c>
      <c r="E34" s="4">
        <f>Transportation1527395163[Costo Presupuestado]-Transportation1527395163[Costo Real]</f>
        <v>0</v>
      </c>
      <c r="F34" s="3"/>
      <c r="G34" s="34" t="s">
        <v>3</v>
      </c>
      <c r="H34" s="41">
        <f>SUBTOTAL(109,Gifts2436486072[Costo Presupuestado])</f>
        <v>0</v>
      </c>
      <c r="I34" s="41">
        <f>SUBTOTAL(109,Gifts2436486072[Costo Real])</f>
        <v>0</v>
      </c>
      <c r="J34" s="41">
        <f>SUBTOTAL(109,Gifts2436486072[Diferencia])</f>
        <v>0</v>
      </c>
      <c r="K34" s="19"/>
      <c r="L34" s="19"/>
    </row>
    <row r="35" spans="2:12" x14ac:dyDescent="0.25">
      <c r="B35" s="34" t="s">
        <v>3</v>
      </c>
      <c r="C35" s="41">
        <f>SUBTOTAL(109,Transportation1527395163[Costo Presupuestado])</f>
        <v>6000</v>
      </c>
      <c r="D35" s="41">
        <f>SUBTOTAL(109,Transportation1527395163[Costo Real])</f>
        <v>4000</v>
      </c>
      <c r="E35" s="41">
        <f>SUBTOTAL(109,Transportation1527395163[Diferencia])</f>
        <v>2000</v>
      </c>
      <c r="F35" s="3"/>
      <c r="K35" s="19"/>
      <c r="L35" s="19"/>
    </row>
    <row r="36" spans="2:12" ht="25.5" x14ac:dyDescent="0.25">
      <c r="B36" s="37"/>
      <c r="C36" s="37"/>
      <c r="D36" s="37"/>
      <c r="E36" s="37"/>
      <c r="F36" s="3"/>
      <c r="G36" s="32" t="s">
        <v>25</v>
      </c>
      <c r="H36" s="13" t="s">
        <v>18</v>
      </c>
      <c r="I36" s="13" t="s">
        <v>19</v>
      </c>
      <c r="J36" s="13" t="s">
        <v>8</v>
      </c>
      <c r="K36" s="19"/>
      <c r="L36" s="19"/>
    </row>
    <row r="37" spans="2:12" ht="25.5" x14ac:dyDescent="0.25">
      <c r="B37" s="16" t="s">
        <v>27</v>
      </c>
      <c r="C37" s="13" t="s">
        <v>18</v>
      </c>
      <c r="D37" s="13" t="s">
        <v>19</v>
      </c>
      <c r="E37" s="13" t="s">
        <v>8</v>
      </c>
      <c r="F37" s="3"/>
      <c r="G37" s="3" t="s">
        <v>52</v>
      </c>
      <c r="H37" s="40"/>
      <c r="I37" s="40"/>
      <c r="J37" s="4">
        <f>Pets1931435567[Costo Presupuestado]-Pets1931435567[Costo Real]</f>
        <v>0</v>
      </c>
      <c r="K37" s="19"/>
      <c r="L37" s="19"/>
    </row>
    <row r="38" spans="2:12" x14ac:dyDescent="0.25">
      <c r="B38" s="3" t="s">
        <v>45</v>
      </c>
      <c r="C38" s="40">
        <v>0</v>
      </c>
      <c r="D38" s="40">
        <v>0</v>
      </c>
      <c r="E38" s="4">
        <f>Insurance1628405264[Costo Presupuestado]-Insurance1628405264[Costo Real]</f>
        <v>0</v>
      </c>
      <c r="F38" s="3"/>
      <c r="G38" s="3" t="s">
        <v>53</v>
      </c>
      <c r="H38" s="40"/>
      <c r="I38" s="40"/>
      <c r="J38" s="4">
        <f>Pets1931435567[Costo Presupuestado]-Pets1931435567[Costo Real]</f>
        <v>0</v>
      </c>
      <c r="K38" s="19"/>
      <c r="L38" s="19"/>
    </row>
    <row r="39" spans="2:12" x14ac:dyDescent="0.25">
      <c r="B39" s="3" t="s">
        <v>46</v>
      </c>
      <c r="C39" s="40">
        <v>500</v>
      </c>
      <c r="D39" s="40">
        <v>500</v>
      </c>
      <c r="E39" s="4">
        <f>Insurance1628405264[Costo Presupuestado]-Insurance1628405264[Costo Real]</f>
        <v>0</v>
      </c>
      <c r="F39" s="3"/>
      <c r="G39" s="3" t="s">
        <v>54</v>
      </c>
      <c r="H39" s="40"/>
      <c r="I39" s="40"/>
      <c r="J39" s="4">
        <f>Pets1931435567[Costo Presupuestado]-Pets1931435567[Costo Real]</f>
        <v>0</v>
      </c>
      <c r="K39" s="19"/>
      <c r="L39" s="19"/>
    </row>
    <row r="40" spans="2:12" x14ac:dyDescent="0.25">
      <c r="B40" s="3" t="s">
        <v>47</v>
      </c>
      <c r="C40" s="40">
        <v>0</v>
      </c>
      <c r="D40" s="40">
        <v>0</v>
      </c>
      <c r="E40" s="4">
        <f>Insurance1628405264[Costo Presupuestado]-Insurance1628405264[Costo Real]</f>
        <v>0</v>
      </c>
      <c r="F40" s="3"/>
      <c r="G40" s="3" t="s">
        <v>55</v>
      </c>
      <c r="H40" s="40"/>
      <c r="I40" s="40"/>
      <c r="J40" s="4">
        <f>Pets1931435567[Costo Presupuestado]-Pets1931435567[Costo Real]</f>
        <v>0</v>
      </c>
      <c r="K40" s="19"/>
      <c r="L40" s="19"/>
    </row>
    <row r="41" spans="2:12" x14ac:dyDescent="0.25">
      <c r="B41" s="3" t="s">
        <v>48</v>
      </c>
      <c r="C41" s="40">
        <v>0</v>
      </c>
      <c r="D41" s="40">
        <v>0</v>
      </c>
      <c r="E41" s="4">
        <f>Insurance1628405264[Costo Presupuestado]-Insurance1628405264[Costo Real]</f>
        <v>0</v>
      </c>
      <c r="F41" s="3"/>
      <c r="G41" s="3" t="s">
        <v>56</v>
      </c>
      <c r="H41" s="40"/>
      <c r="I41" s="40"/>
      <c r="J41" s="4">
        <f>Pets1931435567[Costo Presupuestado]-Pets1931435567[Costo Real]</f>
        <v>0</v>
      </c>
      <c r="K41" s="19"/>
      <c r="L41" s="19"/>
    </row>
    <row r="42" spans="2:12" x14ac:dyDescent="0.25">
      <c r="B42" s="34" t="s">
        <v>3</v>
      </c>
      <c r="C42" s="41">
        <f>SUBTOTAL(109,Insurance1628405264[Costo Presupuestado])</f>
        <v>500</v>
      </c>
      <c r="D42" s="41">
        <f>SUBTOTAL(109,Insurance1628405264[Costo Real])</f>
        <v>500</v>
      </c>
      <c r="E42" s="41">
        <f>SUBTOTAL(109,Insurance1628405264[Diferencia])</f>
        <v>0</v>
      </c>
      <c r="F42" s="3"/>
      <c r="G42" s="34" t="s">
        <v>3</v>
      </c>
      <c r="H42" s="49">
        <f>SUBTOTAL(109,Pets1931435567[Costo Presupuestado])</f>
        <v>0</v>
      </c>
      <c r="I42" s="49">
        <f>SUBTOTAL(109,Pets1931435567[Costo Real])</f>
        <v>0</v>
      </c>
      <c r="J42" s="49">
        <f>SUBTOTAL(109,Pets1931435567[Diferencia])</f>
        <v>0</v>
      </c>
      <c r="K42" s="19"/>
      <c r="L42" s="19"/>
    </row>
    <row r="43" spans="2:12" ht="25.5" customHeight="1" x14ac:dyDescent="0.25">
      <c r="B43" s="37"/>
      <c r="C43" s="37"/>
      <c r="D43" s="37"/>
      <c r="E43" s="37"/>
      <c r="F43" s="3"/>
      <c r="K43" s="19"/>
      <c r="L43" s="19"/>
    </row>
    <row r="44" spans="2:12" ht="25.5" x14ac:dyDescent="0.25">
      <c r="B44" s="16" t="s">
        <v>26</v>
      </c>
      <c r="C44" s="13" t="s">
        <v>18</v>
      </c>
      <c r="D44" s="13" t="s">
        <v>19</v>
      </c>
      <c r="E44" s="13" t="s">
        <v>8</v>
      </c>
      <c r="F44" s="3"/>
      <c r="G44" s="32" t="s">
        <v>24</v>
      </c>
      <c r="H44" s="13" t="s">
        <v>18</v>
      </c>
      <c r="I44" s="13" t="s">
        <v>19</v>
      </c>
      <c r="J44" s="13" t="s">
        <v>8</v>
      </c>
      <c r="K44" s="19"/>
      <c r="L44" s="19"/>
    </row>
    <row r="45" spans="2:12" x14ac:dyDescent="0.25">
      <c r="B45" s="3" t="s">
        <v>57</v>
      </c>
      <c r="C45" s="40">
        <v>2000</v>
      </c>
      <c r="D45" s="40">
        <v>2500</v>
      </c>
      <c r="E45" s="4">
        <f>Food1729415365[Costo Presupuestado]-Food1729415365[Costo Real]</f>
        <v>-500</v>
      </c>
      <c r="F45" s="3"/>
      <c r="G45" s="3" t="s">
        <v>72</v>
      </c>
      <c r="H45" s="40"/>
      <c r="I45" s="40"/>
      <c r="J45" s="4">
        <f>PersonalCare2032445668[Costo Presupuestado]-PersonalCare2032445668[Costo Real]</f>
        <v>0</v>
      </c>
      <c r="K45" s="19"/>
      <c r="L45" s="19"/>
    </row>
    <row r="46" spans="2:12" x14ac:dyDescent="0.25">
      <c r="B46" s="3" t="s">
        <v>58</v>
      </c>
      <c r="C46" s="40">
        <v>4000</v>
      </c>
      <c r="D46" s="40">
        <v>3000</v>
      </c>
      <c r="E46" s="4">
        <f>Food1729415365[Costo Presupuestado]-Food1729415365[Costo Real]</f>
        <v>1000</v>
      </c>
      <c r="F46" s="3"/>
      <c r="G46" s="3" t="s">
        <v>73</v>
      </c>
      <c r="H46" s="40"/>
      <c r="I46" s="40"/>
      <c r="J46" s="4">
        <f>PersonalCare2032445668[Costo Presupuestado]-PersonalCare2032445668[Costo Real]</f>
        <v>0</v>
      </c>
      <c r="K46" s="19"/>
      <c r="L46" s="19"/>
    </row>
    <row r="47" spans="2:12" x14ac:dyDescent="0.25">
      <c r="B47" s="3" t="s">
        <v>56</v>
      </c>
      <c r="C47" s="40">
        <v>0</v>
      </c>
      <c r="D47" s="40">
        <v>0</v>
      </c>
      <c r="E47" s="4">
        <f>Food1729415365[Costo Presupuestado]-Food1729415365[Costo Real]</f>
        <v>0</v>
      </c>
      <c r="F47" s="3"/>
      <c r="G47" s="3" t="s">
        <v>74</v>
      </c>
      <c r="H47" s="40">
        <v>1000</v>
      </c>
      <c r="I47" s="40">
        <v>600</v>
      </c>
      <c r="J47" s="4">
        <f>PersonalCare2032445668[Costo Presupuestado]-PersonalCare2032445668[Costo Real]</f>
        <v>400</v>
      </c>
      <c r="K47" s="19"/>
      <c r="L47" s="19"/>
    </row>
    <row r="48" spans="2:12" x14ac:dyDescent="0.25">
      <c r="B48" s="34" t="s">
        <v>3</v>
      </c>
      <c r="C48" s="41">
        <f>SUBTOTAL(109,Food1729415365[Costo Presupuestado])</f>
        <v>6000</v>
      </c>
      <c r="D48" s="41">
        <f>SUBTOTAL(109,Food1729415365[Costo Real])</f>
        <v>5500</v>
      </c>
      <c r="E48" s="41">
        <f>SUBTOTAL(109,Food1729415365[Diferencia])</f>
        <v>500</v>
      </c>
      <c r="F48" s="3"/>
      <c r="G48" s="3" t="s">
        <v>75</v>
      </c>
      <c r="H48" s="40"/>
      <c r="I48" s="40"/>
      <c r="J48" s="4">
        <f>PersonalCare2032445668[Costo Presupuestado]-PersonalCare2032445668[Costo Real]</f>
        <v>0</v>
      </c>
      <c r="K48" s="19"/>
      <c r="L48" s="19"/>
    </row>
    <row r="49" spans="2:12" ht="25.5" customHeight="1" x14ac:dyDescent="0.25">
      <c r="B49" s="37"/>
      <c r="C49" s="37"/>
      <c r="D49" s="37"/>
      <c r="E49" s="37"/>
      <c r="F49" s="3"/>
      <c r="G49" s="3" t="s">
        <v>76</v>
      </c>
      <c r="H49" s="40"/>
      <c r="I49" s="40"/>
      <c r="J49" s="4">
        <f>PersonalCare2032445668[Costo Presupuestado]-PersonalCare2032445668[Costo Real]</f>
        <v>0</v>
      </c>
      <c r="K49" s="19"/>
      <c r="L49" s="19"/>
    </row>
    <row r="50" spans="2:12" ht="25.5" customHeight="1" x14ac:dyDescent="0.25">
      <c r="B50" s="16" t="s">
        <v>23</v>
      </c>
      <c r="C50" s="13" t="s">
        <v>18</v>
      </c>
      <c r="D50" s="13" t="s">
        <v>19</v>
      </c>
      <c r="E50" s="13" t="s">
        <v>8</v>
      </c>
      <c r="F50" s="3"/>
      <c r="G50" s="3" t="s">
        <v>64</v>
      </c>
      <c r="H50" s="40"/>
      <c r="I50" s="40"/>
      <c r="J50" s="4">
        <f>PersonalCare2032445668[Costo Presupuestado]-PersonalCare2032445668[Costo Real]</f>
        <v>0</v>
      </c>
      <c r="K50" s="19"/>
      <c r="L50" s="19"/>
    </row>
    <row r="51" spans="2:12" x14ac:dyDescent="0.25">
      <c r="B51" s="21" t="s">
        <v>65</v>
      </c>
      <c r="C51" s="40">
        <v>0</v>
      </c>
      <c r="D51" s="40">
        <v>0</v>
      </c>
      <c r="E51" s="4">
        <f>Children1830425466[Costo Presupuestado]-Children1830425466[Costo Real]</f>
        <v>0</v>
      </c>
      <c r="F51" s="3"/>
      <c r="G51" s="34" t="s">
        <v>3</v>
      </c>
      <c r="H51" s="49">
        <f>SUBTOTAL(109,PersonalCare2032445668[Costo Presupuestado])</f>
        <v>1000</v>
      </c>
      <c r="I51" s="49">
        <f>SUBTOTAL(109,PersonalCare2032445668[Costo Real])</f>
        <v>600</v>
      </c>
      <c r="J51" s="49">
        <f>SUBTOTAL(109,PersonalCare2032445668[Diferencia])</f>
        <v>400</v>
      </c>
      <c r="K51" s="19"/>
      <c r="L51" s="19"/>
    </row>
    <row r="52" spans="2:12" x14ac:dyDescent="0.25">
      <c r="B52" s="21" t="s">
        <v>74</v>
      </c>
      <c r="C52" s="40">
        <v>0</v>
      </c>
      <c r="D52" s="40">
        <v>0</v>
      </c>
      <c r="E52" s="4">
        <f>Children1830425466[Costo Presupuestado]-Children1830425466[Costo Real]</f>
        <v>0</v>
      </c>
      <c r="F52" s="3"/>
      <c r="K52" s="19"/>
      <c r="L52" s="19"/>
    </row>
    <row r="53" spans="2:12" ht="38.25" x14ac:dyDescent="0.25">
      <c r="B53" s="21" t="s">
        <v>59</v>
      </c>
      <c r="C53" s="40">
        <v>0</v>
      </c>
      <c r="D53" s="40">
        <v>0</v>
      </c>
      <c r="E53" s="4">
        <f>Children1830425466[Costo Presupuestado]-Children1830425466[Costo Real]</f>
        <v>0</v>
      </c>
      <c r="F53" s="3"/>
      <c r="G53" s="22" t="s">
        <v>22</v>
      </c>
      <c r="H53" s="13" t="s">
        <v>18</v>
      </c>
      <c r="I53" s="13" t="s">
        <v>19</v>
      </c>
      <c r="J53" s="13" t="s">
        <v>8</v>
      </c>
      <c r="K53" s="19"/>
      <c r="L53" s="19"/>
    </row>
    <row r="54" spans="2:12" ht="25.5" x14ac:dyDescent="0.25">
      <c r="B54" s="21" t="s">
        <v>60</v>
      </c>
      <c r="C54" s="40">
        <v>0</v>
      </c>
      <c r="D54" s="40">
        <v>0</v>
      </c>
      <c r="E54" s="4">
        <f>Children1830425466[Costo Presupuestado]-Children1830425466[Costo Real]</f>
        <v>0</v>
      </c>
      <c r="F54" s="3"/>
      <c r="G54" s="3" t="s">
        <v>5</v>
      </c>
      <c r="H54" s="40"/>
      <c r="I54" s="40"/>
      <c r="J54" s="4">
        <f>Loans2234465870[Costo Presupuestado]-Loans2234465870[Costo Real]</f>
        <v>0</v>
      </c>
      <c r="K54" s="19"/>
      <c r="L54" s="19"/>
    </row>
    <row r="55" spans="2:12" ht="25.5" x14ac:dyDescent="0.25">
      <c r="B55" s="21" t="s">
        <v>4</v>
      </c>
      <c r="C55" s="40">
        <v>0</v>
      </c>
      <c r="D55" s="40">
        <v>0</v>
      </c>
      <c r="E55" s="4">
        <f>Children1830425466[Costo Presupuestado]-Children1830425466[Costo Real]</f>
        <v>0</v>
      </c>
      <c r="F55" s="3"/>
      <c r="G55" s="3" t="s">
        <v>68</v>
      </c>
      <c r="H55" s="40"/>
      <c r="I55" s="40"/>
      <c r="J55" s="4">
        <f>Loans2234465870[Costo Presupuestado]-Loans2234465870[Costo Real]</f>
        <v>0</v>
      </c>
      <c r="K55" s="19"/>
      <c r="L55" s="19"/>
    </row>
    <row r="56" spans="2:12" ht="25.5" x14ac:dyDescent="0.25">
      <c r="B56" s="21" t="s">
        <v>61</v>
      </c>
      <c r="C56" s="40">
        <v>0</v>
      </c>
      <c r="D56" s="40">
        <v>0</v>
      </c>
      <c r="E56" s="4">
        <f>Children1830425466[Costo Presupuestado]-Children1830425466[Costo Real]</f>
        <v>0</v>
      </c>
      <c r="F56" s="3"/>
      <c r="G56" s="3" t="s">
        <v>69</v>
      </c>
      <c r="H56" s="40"/>
      <c r="I56" s="40"/>
      <c r="J56" s="4">
        <f>Loans2234465870[Costo Presupuestado]-Loans2234465870[Costo Real]</f>
        <v>0</v>
      </c>
      <c r="K56" s="19"/>
      <c r="L56" s="19"/>
    </row>
    <row r="57" spans="2:12" x14ac:dyDescent="0.25">
      <c r="B57" s="21" t="s">
        <v>62</v>
      </c>
      <c r="C57" s="40">
        <v>0</v>
      </c>
      <c r="D57" s="40">
        <v>0</v>
      </c>
      <c r="E57" s="4">
        <f>Children1830425466[Costo Presupuestado]-Children1830425466[Costo Real]</f>
        <v>0</v>
      </c>
      <c r="F57" s="3"/>
      <c r="G57" s="3" t="s">
        <v>70</v>
      </c>
      <c r="H57" s="40"/>
      <c r="I57" s="40"/>
      <c r="J57" s="4">
        <f>Loans2234465870[Costo Presupuestado]-Loans2234465870[Costo Real]</f>
        <v>0</v>
      </c>
      <c r="K57" s="19"/>
      <c r="L57" s="19"/>
    </row>
    <row r="58" spans="2:12" x14ac:dyDescent="0.25">
      <c r="B58" s="21" t="s">
        <v>63</v>
      </c>
      <c r="C58" s="40">
        <v>0</v>
      </c>
      <c r="D58" s="40">
        <v>0</v>
      </c>
      <c r="E58" s="4">
        <f>Children1830425466[Costo Presupuestado]-Children1830425466[Costo Real]</f>
        <v>0</v>
      </c>
      <c r="F58" s="3"/>
      <c r="G58" s="3" t="s">
        <v>71</v>
      </c>
      <c r="H58" s="40"/>
      <c r="I58" s="40"/>
      <c r="J58" s="4">
        <f>Loans2234465870[Costo Presupuestado]-Loans2234465870[Costo Real]</f>
        <v>0</v>
      </c>
      <c r="K58" s="19"/>
      <c r="L58" s="19"/>
    </row>
    <row r="59" spans="2:12" x14ac:dyDescent="0.25">
      <c r="B59" s="21" t="s">
        <v>64</v>
      </c>
      <c r="C59" s="40">
        <v>0</v>
      </c>
      <c r="D59" s="40">
        <v>0</v>
      </c>
      <c r="E59" s="4">
        <f>Children1830425466[Costo Presupuestado]-Children1830425466[Costo Real]</f>
        <v>0</v>
      </c>
      <c r="F59" s="3"/>
      <c r="G59" s="3" t="s">
        <v>64</v>
      </c>
      <c r="H59" s="40"/>
      <c r="I59" s="40"/>
      <c r="J59" s="4">
        <f>Loans2234465870[Costo Presupuestado]-Loans2234465870[Costo Real]</f>
        <v>0</v>
      </c>
      <c r="K59" s="19"/>
      <c r="L59" s="19"/>
    </row>
    <row r="60" spans="2:12" x14ac:dyDescent="0.25">
      <c r="B60" s="34" t="s">
        <v>3</v>
      </c>
      <c r="C60" s="41">
        <f>SUBTOTAL(109,Children1830425466[Costo Presupuestado])</f>
        <v>0</v>
      </c>
      <c r="D60" s="41">
        <f>SUBTOTAL(109,Children1830425466[Costo Real])</f>
        <v>0</v>
      </c>
      <c r="E60" s="41">
        <f>SUBTOTAL(109,Children1830425466[Diferencia])</f>
        <v>0</v>
      </c>
      <c r="F60" s="3"/>
      <c r="G60" s="34" t="s">
        <v>3</v>
      </c>
      <c r="H60" s="49">
        <f>SUBTOTAL(109,Loans2234465870[Costo Presupuestado])</f>
        <v>0</v>
      </c>
      <c r="I60" s="49">
        <f>SUBTOTAL(109,Loans2234465870[Costo Real])</f>
        <v>0</v>
      </c>
      <c r="J60" s="49">
        <f>SUBTOTAL(109,Loans2234465870[Diferencia])</f>
        <v>0</v>
      </c>
      <c r="K60" s="19"/>
      <c r="L60" s="19"/>
    </row>
    <row r="61" spans="2:12" x14ac:dyDescent="0.25">
      <c r="F61" s="3"/>
      <c r="K61" s="19"/>
      <c r="L61" s="19"/>
    </row>
    <row r="62" spans="2:12" ht="25.5" x14ac:dyDescent="0.25">
      <c r="F62" s="3"/>
      <c r="G62" s="15" t="s">
        <v>21</v>
      </c>
      <c r="H62" s="13" t="s">
        <v>18</v>
      </c>
      <c r="I62" s="13" t="s">
        <v>19</v>
      </c>
      <c r="J62" s="13" t="s">
        <v>8</v>
      </c>
      <c r="K62" s="19"/>
      <c r="L62" s="19"/>
    </row>
    <row r="63" spans="2:12" x14ac:dyDescent="0.25">
      <c r="F63" s="3"/>
      <c r="G63" s="3" t="s">
        <v>66</v>
      </c>
      <c r="H63" s="40"/>
      <c r="I63" s="40"/>
      <c r="J63" s="4">
        <f>Legal2537496173[Costo Presupuestado]-Legal2537496173[Costo Real]</f>
        <v>0</v>
      </c>
      <c r="K63" s="19"/>
      <c r="L63" s="19"/>
    </row>
    <row r="64" spans="2:12" x14ac:dyDescent="0.25">
      <c r="F64" s="3"/>
      <c r="G64" s="3" t="s">
        <v>67</v>
      </c>
      <c r="H64" s="40"/>
      <c r="I64" s="40"/>
      <c r="J64" s="4">
        <f>Legal2537496173[Costo Presupuestado]-Legal2537496173[Costo Real]</f>
        <v>0</v>
      </c>
      <c r="K64" s="19"/>
      <c r="L64" s="19"/>
    </row>
    <row r="65" spans="6:12" x14ac:dyDescent="0.25">
      <c r="F65" s="3"/>
      <c r="G65" s="3" t="s">
        <v>64</v>
      </c>
      <c r="H65" s="40"/>
      <c r="I65" s="40"/>
      <c r="J65" s="4">
        <f>Legal2537496173[Costo Presupuestado]-Legal2537496173[Costo Real]</f>
        <v>0</v>
      </c>
      <c r="K65" s="19"/>
      <c r="L65" s="19"/>
    </row>
    <row r="66" spans="6:12" x14ac:dyDescent="0.25">
      <c r="F66" s="3"/>
      <c r="G66" s="34" t="s">
        <v>3</v>
      </c>
      <c r="H66" s="41">
        <f>SUBTOTAL(109,Legal2537496173[Costo Presupuestado])</f>
        <v>0</v>
      </c>
      <c r="I66" s="41">
        <f>SUBTOTAL(109,Legal2537496173[Costo Real])</f>
        <v>0</v>
      </c>
      <c r="J66" s="41">
        <f>SUBTOTAL(109,Legal2537496173[Diferencia])</f>
        <v>0</v>
      </c>
      <c r="K66" s="19"/>
      <c r="L66" s="19"/>
    </row>
    <row r="67" spans="6:12" x14ac:dyDescent="0.25">
      <c r="F67" s="3"/>
      <c r="K67" s="19"/>
      <c r="L67" s="19"/>
    </row>
    <row r="68" spans="6:12" x14ac:dyDescent="0.25">
      <c r="F68" s="3"/>
      <c r="K68" s="19"/>
      <c r="L68" s="19"/>
    </row>
    <row r="69" spans="6:12" x14ac:dyDescent="0.25">
      <c r="F69" s="3"/>
      <c r="K69" s="19"/>
      <c r="L69" s="19"/>
    </row>
    <row r="70" spans="6:12" x14ac:dyDescent="0.25">
      <c r="K70" s="19"/>
      <c r="L70" s="19"/>
    </row>
  </sheetData>
  <mergeCells count="6">
    <mergeCell ref="B1:H1"/>
    <mergeCell ref="B3:C3"/>
    <mergeCell ref="G3:H3"/>
    <mergeCell ref="G9:H9"/>
    <mergeCell ref="Q11:R11"/>
    <mergeCell ref="Q17:R17"/>
  </mergeCells>
  <conditionalFormatting sqref="J54:J59 J37:J41 J31:J33 J21:J27 E15:E24 E51:E59 E45:E47 E38:E41 H17 E28:E34 J63:J65 J45:J50 E7:E11">
    <cfRule type="iconSet" priority="1">
      <iconSet iconSet="3Arrows">
        <cfvo type="percentile" val="0"/>
        <cfvo type="num" val="-50"/>
        <cfvo type="num" val="50"/>
      </iconSet>
    </cfRule>
  </conditionalFormatting>
  <conditionalFormatting sqref="E15:E24">
    <cfRule type="iconSet" priority="2">
      <iconSet iconSet="4Arrows">
        <cfvo type="percent" val="0"/>
        <cfvo type="percent" val="25"/>
        <cfvo type="percent" val="50"/>
        <cfvo type="percent" val="75"/>
      </iconSet>
    </cfRule>
  </conditionalFormatting>
  <pageMargins left="0.7" right="0.7" top="0.75" bottom="0.75" header="0.3" footer="0.3"/>
  <drawing r:id="rId1"/>
  <tableParts count="1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0"/>
  <sheetViews>
    <sheetView workbookViewId="0">
      <selection activeCell="F3" sqref="F3"/>
    </sheetView>
  </sheetViews>
  <sheetFormatPr defaultRowHeight="15" x14ac:dyDescent="0.25"/>
  <cols>
    <col min="1" max="1" width="5" style="17" customWidth="1"/>
    <col min="2" max="2" width="17.42578125" style="17" customWidth="1"/>
    <col min="3" max="3" width="17.5703125" style="17" bestFit="1" customWidth="1"/>
    <col min="4" max="4" width="14" style="17" bestFit="1" customWidth="1"/>
    <col min="5" max="5" width="13" style="17" customWidth="1"/>
    <col min="6" max="6" width="5.5703125" style="17" customWidth="1"/>
    <col min="7" max="7" width="15.42578125" style="17" customWidth="1"/>
    <col min="8" max="8" width="14.7109375" style="17" bestFit="1" customWidth="1"/>
    <col min="9" max="9" width="12" style="17" bestFit="1" customWidth="1"/>
    <col min="10" max="10" width="10.85546875" style="17" bestFit="1" customWidth="1"/>
    <col min="11" max="16384" width="9.140625" style="17"/>
  </cols>
  <sheetData>
    <row r="1" spans="1:18" ht="62.25" customHeight="1" x14ac:dyDescent="0.3">
      <c r="A1" s="19"/>
      <c r="B1" s="51"/>
      <c r="C1" s="51"/>
      <c r="D1" s="51"/>
      <c r="E1" s="51"/>
      <c r="F1" s="51"/>
      <c r="G1" s="51"/>
      <c r="H1" s="51"/>
      <c r="I1" s="1"/>
      <c r="J1" s="1"/>
      <c r="K1" s="19"/>
      <c r="L1" s="19"/>
    </row>
    <row r="2" spans="1:18" ht="18.75" customHeight="1" thickBot="1" x14ac:dyDescent="0.3">
      <c r="A2" s="19"/>
      <c r="B2" s="38"/>
      <c r="C2" s="38"/>
      <c r="D2" s="38"/>
      <c r="E2" s="38"/>
      <c r="F2" s="38"/>
      <c r="G2" s="38"/>
      <c r="H2" s="38"/>
      <c r="I2" s="38"/>
      <c r="J2" s="38"/>
      <c r="K2" s="19"/>
      <c r="L2" s="19"/>
    </row>
    <row r="3" spans="1:18" ht="26.25" thickBot="1" x14ac:dyDescent="0.3">
      <c r="B3" s="52" t="s">
        <v>6</v>
      </c>
      <c r="C3" s="53"/>
      <c r="D3" s="23" t="s">
        <v>7</v>
      </c>
      <c r="E3" s="24" t="s">
        <v>8</v>
      </c>
      <c r="F3" s="2"/>
      <c r="G3" s="54" t="s">
        <v>9</v>
      </c>
      <c r="H3" s="55"/>
      <c r="I3" s="2"/>
      <c r="J3" s="2"/>
      <c r="K3" s="19"/>
      <c r="L3" s="19"/>
      <c r="Q3" s="19"/>
      <c r="R3" s="19"/>
    </row>
    <row r="4" spans="1:18" ht="15.75" thickBot="1" x14ac:dyDescent="0.3">
      <c r="B4" s="25"/>
      <c r="C4" s="50">
        <f>Housing112638506274[[#Totals],[Costo Presupuestado]]+Transportation152739516375[[#Totals],[Costo Presupuestado]]+Insurance162840526476[[#Totals],[Costo Presupuestado]]+Food172941536577[[#Totals],[Costo Presupuestado]]+Children183042546678[[#Totals],[Costo Presupuestado]]+Legal253749617385[[#Totals],[Costo Presupuestado]]+Savings233547597183[[#Totals],[Costo Presupuestado]]+Loans223446587082[[#Totals],[Costo Presupuestado]]+Entertainment213345576981[[#Totals],[Costo Presupuestado]]+PersonalCare203244566880[[#Totals],[Costo Presupuestado]]+Pets193143556779[[#Totals],[Costo Presupuestado]]+Gifts243648607284[[#Totals],[Costo Presupuestado]]</f>
        <v>44250</v>
      </c>
      <c r="D4" s="50">
        <f>Housing112638506274[[#Totals],[Costo Real]]+Transportation152739516375[[#Totals],[Costo Real]]+Insurance162840526476[[#Totals],[Costo Real]]+Food172941536577[[#Totals],[Costo Real]]+Children183042546678[[#Totals],[Costo Real]]+Legal253749617385[[#Totals],[Costo Real]]+Savings233547597183[[#Totals],[Costo Real]]+Loans223446587082[[#Totals],[Costo Real]]+Entertainment213345576981[[#Totals],[Costo Real]]+PersonalCare203244566880[[#Totals],[Costo Real]]+Pets193143556779[[#Totals],[Costo Real]]+Gifts243648607284[[#Totals],[Costo Real]]</f>
        <v>39844</v>
      </c>
      <c r="E4" s="45">
        <f>Housing112638506274[[#Totals],[Diferencia]]+Transportation152739516375[[#Totals],[Diferencia]]+Insurance162840526476[[#Totals],[Diferencia]]+Food172941536577[[#Totals],[Diferencia]]+Children183042546678[[#Totals],[Diferencia]]+Legal253749617385[[#Totals],[Diferencia]]+Savings233547597183[[#Totals],[Diferencia]]+Loans223446587082[[#Totals],[Diferencia]]+Entertainment213345576981[[#Totals],[Diferencia]]+PersonalCare203244566880[[#Totals],[Diferencia]]+Pets193143556779[[#Totals],[Diferencia]]+Gifts243648607284[[#Totals],[Diferencia]]</f>
        <v>4406</v>
      </c>
      <c r="F4" s="2"/>
      <c r="G4" s="39" t="s">
        <v>10</v>
      </c>
      <c r="H4" s="48">
        <v>50000</v>
      </c>
      <c r="I4" s="2"/>
      <c r="J4" s="2"/>
      <c r="K4" s="19"/>
      <c r="L4" s="19"/>
      <c r="Q4" s="19"/>
      <c r="R4" s="19"/>
    </row>
    <row r="5" spans="1:18" ht="25.5" x14ac:dyDescent="0.25">
      <c r="F5" s="3"/>
      <c r="G5" s="26" t="s">
        <v>11</v>
      </c>
      <c r="H5" s="46">
        <v>5000</v>
      </c>
      <c r="I5" s="3"/>
      <c r="J5" s="3"/>
      <c r="K5" s="19"/>
      <c r="L5" s="19"/>
      <c r="Q5" s="19"/>
      <c r="R5" s="19"/>
    </row>
    <row r="6" spans="1:18" ht="25.5" x14ac:dyDescent="0.25">
      <c r="B6" s="33" t="s">
        <v>20</v>
      </c>
      <c r="C6" s="13" t="s">
        <v>18</v>
      </c>
      <c r="D6" s="13" t="s">
        <v>19</v>
      </c>
      <c r="E6" s="13" t="s">
        <v>8</v>
      </c>
      <c r="F6" s="3"/>
      <c r="G6" s="26" t="s">
        <v>12</v>
      </c>
      <c r="H6" s="46">
        <v>0</v>
      </c>
      <c r="I6" s="3"/>
      <c r="J6" s="3"/>
      <c r="K6" s="19"/>
      <c r="L6" s="19"/>
      <c r="Q6" s="19"/>
      <c r="R6" s="19"/>
    </row>
    <row r="7" spans="1:18" ht="26.25" thickBot="1" x14ac:dyDescent="0.3">
      <c r="B7" s="3" t="s">
        <v>77</v>
      </c>
      <c r="C7" s="40">
        <v>5000</v>
      </c>
      <c r="D7" s="40">
        <v>5000</v>
      </c>
      <c r="E7" s="40">
        <f>Savings233547597183[Costo Presupuestado]-Savings233547597183[Costo Real]</f>
        <v>0</v>
      </c>
      <c r="F7" s="3"/>
      <c r="G7" s="27" t="s">
        <v>13</v>
      </c>
      <c r="H7" s="47">
        <f>SUM(H4:H6)</f>
        <v>55000</v>
      </c>
      <c r="I7" s="3"/>
      <c r="J7" s="3"/>
      <c r="K7" s="19"/>
      <c r="L7" s="19"/>
      <c r="Q7" s="19"/>
      <c r="R7" s="19"/>
    </row>
    <row r="8" spans="1:18" ht="15.75" thickBot="1" x14ac:dyDescent="0.3">
      <c r="B8" s="3" t="s">
        <v>78</v>
      </c>
      <c r="C8" s="40"/>
      <c r="D8" s="40"/>
      <c r="E8" s="40">
        <f>Savings233547597183[Costo Presupuestado]-Savings233547597183[Costo Real]</f>
        <v>0</v>
      </c>
      <c r="F8" s="3"/>
      <c r="G8" s="5"/>
      <c r="H8" s="6"/>
      <c r="I8" s="18"/>
      <c r="J8" s="18"/>
      <c r="K8" s="19"/>
      <c r="L8" s="19"/>
      <c r="Q8" s="19"/>
      <c r="R8" s="19"/>
    </row>
    <row r="9" spans="1:18" ht="25.5" x14ac:dyDescent="0.25">
      <c r="B9" s="3" t="s">
        <v>81</v>
      </c>
      <c r="C9" s="40"/>
      <c r="D9" s="40"/>
      <c r="E9" s="40">
        <f>Savings233547597183[Costo Presupuestado]-Savings233547597183[Costo Real]</f>
        <v>0</v>
      </c>
      <c r="F9" s="3"/>
      <c r="G9" s="56" t="s">
        <v>14</v>
      </c>
      <c r="H9" s="57"/>
      <c r="I9" s="3"/>
      <c r="J9" s="3"/>
      <c r="K9" s="19" t="s">
        <v>0</v>
      </c>
      <c r="L9" s="19"/>
      <c r="Q9" s="19"/>
      <c r="R9" s="19"/>
    </row>
    <row r="10" spans="1:18" x14ac:dyDescent="0.25">
      <c r="B10" s="36" t="s">
        <v>80</v>
      </c>
      <c r="C10" s="42"/>
      <c r="D10" s="42"/>
      <c r="E10" s="40">
        <f>Savings233547597183[Costo Presupuestado]-Savings233547597183[Costo Real]</f>
        <v>0</v>
      </c>
      <c r="F10" s="3"/>
      <c r="G10" s="26" t="s">
        <v>10</v>
      </c>
      <c r="H10" s="46">
        <v>48000</v>
      </c>
      <c r="I10" s="3"/>
      <c r="J10" s="3"/>
      <c r="K10" s="19"/>
      <c r="L10" s="19"/>
      <c r="Q10" s="19"/>
      <c r="R10" s="19"/>
    </row>
    <row r="11" spans="1:18" ht="25.5" x14ac:dyDescent="0.25">
      <c r="B11" s="3" t="s">
        <v>79</v>
      </c>
      <c r="C11" s="40"/>
      <c r="D11" s="40"/>
      <c r="E11" s="40">
        <f>Savings233547597183[Costo Presupuestado]-Savings233547597183[Costo Real]</f>
        <v>0</v>
      </c>
      <c r="F11" s="3"/>
      <c r="G11" s="26" t="s">
        <v>11</v>
      </c>
      <c r="H11" s="46">
        <v>4500</v>
      </c>
      <c r="I11" s="3"/>
      <c r="J11" s="3"/>
      <c r="K11" s="19"/>
      <c r="L11" s="19"/>
      <c r="Q11" s="58"/>
      <c r="R11" s="58"/>
    </row>
    <row r="12" spans="1:18" x14ac:dyDescent="0.25">
      <c r="B12" s="34" t="s">
        <v>3</v>
      </c>
      <c r="C12" s="41">
        <f>SUBTOTAL(109,Savings233547597183[Costo Presupuestado])</f>
        <v>5000</v>
      </c>
      <c r="D12" s="41">
        <f>SUBTOTAL(109,Savings233547597183[Costo Real])</f>
        <v>5000</v>
      </c>
      <c r="E12" s="41">
        <f>SUBTOTAL(109,Savings233547597183[Diferencia])</f>
        <v>0</v>
      </c>
      <c r="F12" s="3"/>
      <c r="G12" s="26" t="s">
        <v>12</v>
      </c>
      <c r="H12" s="46">
        <v>0</v>
      </c>
      <c r="I12" s="3"/>
      <c r="J12" s="3"/>
      <c r="K12" s="19"/>
      <c r="L12" s="19"/>
      <c r="Q12" s="7"/>
      <c r="R12" s="8"/>
    </row>
    <row r="13" spans="1:18" ht="26.25" thickBot="1" x14ac:dyDescent="0.3">
      <c r="F13" s="3"/>
      <c r="G13" s="27" t="s">
        <v>13</v>
      </c>
      <c r="H13" s="47">
        <f>SUM(H10:H12)</f>
        <v>52500</v>
      </c>
      <c r="I13" s="3"/>
      <c r="J13" s="3"/>
      <c r="K13" s="19"/>
      <c r="L13" s="19"/>
      <c r="Q13" s="7"/>
      <c r="R13" s="8"/>
    </row>
    <row r="14" spans="1:18" ht="26.25" thickBot="1" x14ac:dyDescent="0.3">
      <c r="B14" s="12" t="s">
        <v>17</v>
      </c>
      <c r="C14" s="13" t="s">
        <v>18</v>
      </c>
      <c r="D14" s="13" t="s">
        <v>19</v>
      </c>
      <c r="E14" s="13" t="s">
        <v>8</v>
      </c>
      <c r="F14" s="3"/>
      <c r="G14" s="2"/>
      <c r="H14" s="2"/>
      <c r="I14" s="3"/>
      <c r="J14" s="3"/>
      <c r="K14" s="19"/>
      <c r="L14" s="19"/>
      <c r="Q14" s="7"/>
      <c r="R14" s="8"/>
    </row>
    <row r="15" spans="1:18" ht="25.5" x14ac:dyDescent="0.25">
      <c r="B15" s="3" t="s">
        <v>36</v>
      </c>
      <c r="C15" s="40">
        <v>16000</v>
      </c>
      <c r="D15" s="40">
        <v>16000</v>
      </c>
      <c r="E15" s="4">
        <f>Housing112638506274[Costo Presupuestado]-Housing112638506274[Costo Real]</f>
        <v>0</v>
      </c>
      <c r="F15" s="3"/>
      <c r="G15" s="29" t="s">
        <v>15</v>
      </c>
      <c r="H15" s="43">
        <f>SUM(H7-C4)</f>
        <v>10750</v>
      </c>
      <c r="I15" s="3"/>
      <c r="J15" s="3"/>
      <c r="K15" s="19"/>
      <c r="L15" s="19"/>
      <c r="Q15" s="7"/>
      <c r="R15" s="8"/>
    </row>
    <row r="16" spans="1:18" ht="25.5" customHeight="1" x14ac:dyDescent="0.25">
      <c r="B16" s="3" t="s">
        <v>37</v>
      </c>
      <c r="C16" s="40">
        <v>0</v>
      </c>
      <c r="D16" s="40">
        <v>0</v>
      </c>
      <c r="E16" s="4">
        <f>Housing112638506274[Costo Presupuestado]-Housing112638506274[Costo Real]</f>
        <v>0</v>
      </c>
      <c r="F16" s="3"/>
      <c r="G16" s="30" t="s">
        <v>16</v>
      </c>
      <c r="H16" s="44">
        <f>SUM(H13-D4)</f>
        <v>12656</v>
      </c>
      <c r="I16" s="3"/>
      <c r="J16" s="3"/>
      <c r="K16" s="19"/>
      <c r="L16" s="19"/>
      <c r="Q16" s="10"/>
      <c r="R16" s="2"/>
    </row>
    <row r="17" spans="2:18" ht="15.75" thickBot="1" x14ac:dyDescent="0.3">
      <c r="B17" s="3" t="s">
        <v>38</v>
      </c>
      <c r="C17" s="40">
        <v>0</v>
      </c>
      <c r="D17" s="40">
        <v>0</v>
      </c>
      <c r="E17" s="4">
        <f>Housing112638506274[Costo Presupuestado]-Housing112638506274[Costo Real]</f>
        <v>0</v>
      </c>
      <c r="F17" s="3"/>
      <c r="G17" s="31" t="s">
        <v>8</v>
      </c>
      <c r="H17" s="45">
        <f>SUM(H16-H15)</f>
        <v>1906</v>
      </c>
      <c r="I17" s="3"/>
      <c r="J17" s="3"/>
      <c r="K17" s="19"/>
      <c r="L17" s="19"/>
      <c r="Q17" s="58"/>
      <c r="R17" s="58"/>
    </row>
    <row r="18" spans="2:18" x14ac:dyDescent="0.25">
      <c r="B18" s="3" t="s">
        <v>31</v>
      </c>
      <c r="C18" s="40">
        <v>200</v>
      </c>
      <c r="D18" s="40">
        <v>200</v>
      </c>
      <c r="E18" s="4">
        <f>Housing112638506274[Costo Presupuestado]-Housing112638506274[Costo Real]</f>
        <v>0</v>
      </c>
      <c r="F18" s="3"/>
      <c r="G18" s="3"/>
      <c r="H18" s="3"/>
      <c r="I18" s="3"/>
      <c r="J18" s="3"/>
      <c r="K18" s="19"/>
      <c r="L18" s="19"/>
      <c r="Q18" s="7"/>
      <c r="R18" s="8"/>
    </row>
    <row r="19" spans="2:18" x14ac:dyDescent="0.25">
      <c r="B19" s="3" t="s">
        <v>32</v>
      </c>
      <c r="C19" s="40">
        <v>100</v>
      </c>
      <c r="D19" s="40">
        <v>100</v>
      </c>
      <c r="E19" s="4">
        <f>Housing112638506274[Costo Presupuestado]-Housing112638506274[Costo Real]</f>
        <v>0</v>
      </c>
      <c r="F19" s="3"/>
      <c r="G19" s="18"/>
      <c r="H19" s="18"/>
      <c r="I19" s="18"/>
      <c r="J19" s="18"/>
      <c r="K19" s="19"/>
      <c r="L19" s="19"/>
      <c r="Q19" s="7"/>
      <c r="R19" s="8"/>
    </row>
    <row r="20" spans="2:18" ht="25.5" x14ac:dyDescent="0.25">
      <c r="B20" s="3" t="s">
        <v>33</v>
      </c>
      <c r="C20" s="40">
        <v>0</v>
      </c>
      <c r="D20" s="40">
        <v>0</v>
      </c>
      <c r="E20" s="4">
        <f>Housing112638506274[Costo Presupuestado]-Housing112638506274[Costo Real]</f>
        <v>0</v>
      </c>
      <c r="F20" s="3"/>
      <c r="G20" s="14" t="s">
        <v>29</v>
      </c>
      <c r="H20" s="13" t="s">
        <v>18</v>
      </c>
      <c r="I20" s="13" t="s">
        <v>19</v>
      </c>
      <c r="J20" s="13" t="s">
        <v>8</v>
      </c>
      <c r="K20" s="19"/>
      <c r="L20" s="19"/>
      <c r="Q20" s="7"/>
      <c r="R20" s="8"/>
    </row>
    <row r="21" spans="2:18" ht="25.5" x14ac:dyDescent="0.25">
      <c r="B21" s="3" t="s">
        <v>1</v>
      </c>
      <c r="C21" s="40">
        <v>1000</v>
      </c>
      <c r="D21" s="40">
        <v>900</v>
      </c>
      <c r="E21" s="4">
        <f>Housing112638506274[Costo Presupuestado]-Housing112638506274[Costo Real]</f>
        <v>100</v>
      </c>
      <c r="F21" s="3"/>
      <c r="G21" s="3" t="s">
        <v>87</v>
      </c>
      <c r="H21" s="40">
        <v>0</v>
      </c>
      <c r="I21" s="40">
        <v>0</v>
      </c>
      <c r="J21" s="4">
        <f>Entertainment213345576981[Costo Presupuestado]-Entertainment213345576981[Costo Real]</f>
        <v>0</v>
      </c>
      <c r="K21" s="19"/>
      <c r="L21" s="19"/>
      <c r="Q21" s="7"/>
      <c r="R21" s="8"/>
    </row>
    <row r="22" spans="2:18" ht="25.5" customHeight="1" x14ac:dyDescent="0.25">
      <c r="B22" s="3" t="s">
        <v>2</v>
      </c>
      <c r="C22" s="40">
        <v>450</v>
      </c>
      <c r="D22" s="40">
        <v>400</v>
      </c>
      <c r="E22" s="4">
        <f>Housing112638506274[Costo Presupuestado]-Housing112638506274[Costo Real]</f>
        <v>50</v>
      </c>
      <c r="F22" s="3"/>
      <c r="G22" s="3" t="s">
        <v>86</v>
      </c>
      <c r="H22" s="40">
        <v>5000</v>
      </c>
      <c r="I22" s="40">
        <v>4000</v>
      </c>
      <c r="J22" s="4">
        <f>Entertainment213345576981[Costo Presupuestado]-Entertainment213345576981[Costo Real]</f>
        <v>1000</v>
      </c>
      <c r="K22" s="19"/>
      <c r="L22" s="19"/>
      <c r="Q22" s="2"/>
      <c r="R22" s="2"/>
    </row>
    <row r="23" spans="2:18" x14ac:dyDescent="0.25">
      <c r="B23" s="3" t="s">
        <v>34</v>
      </c>
      <c r="C23" s="40">
        <v>1800</v>
      </c>
      <c r="D23" s="40">
        <v>1600</v>
      </c>
      <c r="E23" s="9">
        <f>Housing112638506274[Costo Presupuestado]-Housing112638506274[Costo Real]</f>
        <v>200</v>
      </c>
      <c r="F23" s="3"/>
      <c r="G23" s="3" t="s">
        <v>82</v>
      </c>
      <c r="H23" s="40">
        <v>700</v>
      </c>
      <c r="I23" s="40">
        <v>1000</v>
      </c>
      <c r="J23" s="4">
        <f>Entertainment213345576981[Costo Presupuestado]-Entertainment213345576981[Costo Real]</f>
        <v>-300</v>
      </c>
      <c r="K23" s="19"/>
      <c r="L23" s="19"/>
      <c r="Q23" s="20"/>
      <c r="R23" s="11"/>
    </row>
    <row r="24" spans="2:18" x14ac:dyDescent="0.25">
      <c r="B24" s="3" t="s">
        <v>35</v>
      </c>
      <c r="C24" s="40">
        <v>500</v>
      </c>
      <c r="D24" s="40">
        <v>44</v>
      </c>
      <c r="E24" s="4">
        <f>Housing112638506274[Costo Presupuestado]-Housing112638506274[Costo Real]</f>
        <v>456</v>
      </c>
      <c r="F24" s="3"/>
      <c r="G24" s="3" t="s">
        <v>83</v>
      </c>
      <c r="H24" s="40">
        <v>0</v>
      </c>
      <c r="I24" s="40">
        <v>0</v>
      </c>
      <c r="J24" s="4">
        <f>Entertainment213345576981[Costo Presupuestado]-Entertainment213345576981[Costo Real]</f>
        <v>0</v>
      </c>
      <c r="K24" s="19"/>
      <c r="L24" s="19"/>
    </row>
    <row r="25" spans="2:18" ht="25.5" x14ac:dyDescent="0.25">
      <c r="B25" s="21" t="s">
        <v>3</v>
      </c>
      <c r="C25" s="40">
        <f>SUBTOTAL(109,Housing112638506274[Costo Presupuestado])</f>
        <v>20050</v>
      </c>
      <c r="D25" s="40">
        <f>SUBTOTAL(109,Housing112638506274[Costo Real])</f>
        <v>19244</v>
      </c>
      <c r="E25" s="40">
        <f>SUBTOTAL(109,Housing112638506274[Diferencia])</f>
        <v>806</v>
      </c>
      <c r="F25" s="3"/>
      <c r="G25" s="3" t="s">
        <v>84</v>
      </c>
      <c r="H25" s="40">
        <v>0</v>
      </c>
      <c r="I25" s="40">
        <v>0</v>
      </c>
      <c r="J25" s="4">
        <f>Entertainment213345576981[Costo Presupuestado]-Entertainment213345576981[Costo Real]</f>
        <v>0</v>
      </c>
      <c r="K25" s="19"/>
      <c r="L25" s="19"/>
    </row>
    <row r="26" spans="2:18" x14ac:dyDescent="0.25">
      <c r="B26" s="37"/>
      <c r="C26" s="37"/>
      <c r="D26" s="37"/>
      <c r="E26" s="37"/>
      <c r="F26" s="3"/>
      <c r="G26" s="3" t="s">
        <v>85</v>
      </c>
      <c r="H26" s="40">
        <v>0</v>
      </c>
      <c r="I26" s="40">
        <v>0</v>
      </c>
      <c r="J26" s="4">
        <f>Entertainment213345576981[Costo Presupuestado]-Entertainment213345576981[Costo Real]</f>
        <v>0</v>
      </c>
      <c r="K26" s="19"/>
      <c r="L26" s="19"/>
    </row>
    <row r="27" spans="2:18" ht="25.5" x14ac:dyDescent="0.25">
      <c r="B27" s="28" t="s">
        <v>30</v>
      </c>
      <c r="C27" s="13" t="s">
        <v>18</v>
      </c>
      <c r="D27" s="13" t="s">
        <v>19</v>
      </c>
      <c r="E27" s="13" t="s">
        <v>8</v>
      </c>
      <c r="F27" s="3"/>
      <c r="G27" s="3" t="s">
        <v>64</v>
      </c>
      <c r="H27" s="40"/>
      <c r="I27" s="40"/>
      <c r="J27" s="4">
        <f>Entertainment213345576981[Costo Presupuestado]-Entertainment213345576981[Costo Real]</f>
        <v>0</v>
      </c>
      <c r="K27" s="19"/>
      <c r="L27" s="19"/>
    </row>
    <row r="28" spans="2:18" ht="25.5" x14ac:dyDescent="0.25">
      <c r="B28" s="3" t="s">
        <v>43</v>
      </c>
      <c r="C28" s="40">
        <v>0</v>
      </c>
      <c r="D28" s="40">
        <v>0</v>
      </c>
      <c r="E28" s="4">
        <f>Transportation152739516375[Costo Presupuestado]-Transportation152739516375[Costo Real]</f>
        <v>0</v>
      </c>
      <c r="F28" s="3"/>
      <c r="G28" s="34" t="s">
        <v>3</v>
      </c>
      <c r="H28" s="35">
        <f>SUBTOTAL(109,Entertainment213345576981[Costo Presupuestado])</f>
        <v>5700</v>
      </c>
      <c r="I28" s="35">
        <f>SUBTOTAL(109,Entertainment213345576981[Costo Real])</f>
        <v>5000</v>
      </c>
      <c r="J28" s="35">
        <f>SUBTOTAL(109,Entertainment213345576981[Diferencia])</f>
        <v>700</v>
      </c>
      <c r="K28" s="19"/>
      <c r="L28" s="19"/>
    </row>
    <row r="29" spans="2:18" ht="25.5" x14ac:dyDescent="0.25">
      <c r="B29" s="3" t="s">
        <v>44</v>
      </c>
      <c r="C29" s="40">
        <v>0</v>
      </c>
      <c r="D29" s="40">
        <v>0</v>
      </c>
      <c r="E29" s="4">
        <f>Transportation152739516375[Costo Presupuestado]-Transportation152739516375[Costo Real]</f>
        <v>0</v>
      </c>
      <c r="F29" s="3"/>
      <c r="K29" s="19"/>
      <c r="L29" s="19"/>
    </row>
    <row r="30" spans="2:18" ht="25.5" x14ac:dyDescent="0.25">
      <c r="B30" s="3" t="s">
        <v>39</v>
      </c>
      <c r="C30" s="40">
        <v>0</v>
      </c>
      <c r="D30" s="40">
        <v>0</v>
      </c>
      <c r="E30" s="4">
        <f>Transportation152739516375[Costo Presupuestado]-Transportation152739516375[Costo Real]</f>
        <v>0</v>
      </c>
      <c r="F30" s="3"/>
      <c r="G30" s="15" t="s">
        <v>28</v>
      </c>
      <c r="H30" s="13" t="s">
        <v>18</v>
      </c>
      <c r="I30" s="13" t="s">
        <v>19</v>
      </c>
      <c r="J30" s="13" t="s">
        <v>8</v>
      </c>
      <c r="K30" s="19"/>
      <c r="L30" s="19"/>
    </row>
    <row r="31" spans="2:18" x14ac:dyDescent="0.25">
      <c r="B31" s="3" t="s">
        <v>40</v>
      </c>
      <c r="C31" s="40">
        <v>6000</v>
      </c>
      <c r="D31" s="40">
        <v>4000</v>
      </c>
      <c r="E31" s="4">
        <f>Transportation152739516375[Costo Presupuestado]-Transportation152739516375[Costo Real]</f>
        <v>2000</v>
      </c>
      <c r="F31" s="3"/>
      <c r="G31" s="3" t="s">
        <v>49</v>
      </c>
      <c r="H31" s="40"/>
      <c r="I31" s="40">
        <v>0</v>
      </c>
      <c r="J31" s="4">
        <f>Gifts243648607284[Costo Presupuestado]-Gifts243648607284[Costo Real]</f>
        <v>0</v>
      </c>
      <c r="K31" s="19"/>
      <c r="L31" s="19"/>
    </row>
    <row r="32" spans="2:18" x14ac:dyDescent="0.25">
      <c r="B32" s="3" t="s">
        <v>41</v>
      </c>
      <c r="C32" s="40">
        <v>0</v>
      </c>
      <c r="D32" s="40">
        <v>0</v>
      </c>
      <c r="E32" s="4">
        <f>Transportation152739516375[Costo Presupuestado]-Transportation152739516375[Costo Real]</f>
        <v>0</v>
      </c>
      <c r="F32" s="3"/>
      <c r="G32" s="3" t="s">
        <v>50</v>
      </c>
      <c r="H32" s="40"/>
      <c r="I32" s="40"/>
      <c r="J32" s="4">
        <f>Gifts243648607284[Costo Presupuestado]-Gifts243648607284[Costo Real]</f>
        <v>0</v>
      </c>
      <c r="K32" s="19"/>
      <c r="L32" s="19"/>
    </row>
    <row r="33" spans="2:12" x14ac:dyDescent="0.25">
      <c r="B33" s="3" t="s">
        <v>42</v>
      </c>
      <c r="C33" s="40">
        <v>0</v>
      </c>
      <c r="D33" s="40">
        <v>0</v>
      </c>
      <c r="E33" s="4">
        <f>Transportation152739516375[Costo Presupuestado]-Transportation152739516375[Costo Real]</f>
        <v>0</v>
      </c>
      <c r="F33" s="3"/>
      <c r="G33" s="3" t="s">
        <v>51</v>
      </c>
      <c r="H33" s="40"/>
      <c r="I33" s="40"/>
      <c r="J33" s="4">
        <f>Gifts243648607284[Costo Presupuestado]-Gifts243648607284[Costo Real]</f>
        <v>0</v>
      </c>
      <c r="K33" s="19"/>
      <c r="L33" s="19"/>
    </row>
    <row r="34" spans="2:12" x14ac:dyDescent="0.25">
      <c r="B34" s="3" t="s">
        <v>38</v>
      </c>
      <c r="C34" s="40">
        <v>0</v>
      </c>
      <c r="D34" s="40">
        <v>0</v>
      </c>
      <c r="E34" s="4">
        <f>Transportation152739516375[Costo Presupuestado]-Transportation152739516375[Costo Real]</f>
        <v>0</v>
      </c>
      <c r="F34" s="3"/>
      <c r="G34" s="34" t="s">
        <v>3</v>
      </c>
      <c r="H34" s="41">
        <f>SUBTOTAL(109,Gifts243648607284[Costo Presupuestado])</f>
        <v>0</v>
      </c>
      <c r="I34" s="41">
        <f>SUBTOTAL(109,Gifts243648607284[Costo Real])</f>
        <v>0</v>
      </c>
      <c r="J34" s="41">
        <f>SUBTOTAL(109,Gifts243648607284[Diferencia])</f>
        <v>0</v>
      </c>
      <c r="K34" s="19"/>
      <c r="L34" s="19"/>
    </row>
    <row r="35" spans="2:12" x14ac:dyDescent="0.25">
      <c r="B35" s="34" t="s">
        <v>3</v>
      </c>
      <c r="C35" s="41">
        <f>SUBTOTAL(109,Transportation152739516375[Costo Presupuestado])</f>
        <v>6000</v>
      </c>
      <c r="D35" s="41">
        <f>SUBTOTAL(109,Transportation152739516375[Costo Real])</f>
        <v>4000</v>
      </c>
      <c r="E35" s="41">
        <f>SUBTOTAL(109,Transportation152739516375[Diferencia])</f>
        <v>2000</v>
      </c>
      <c r="F35" s="3"/>
      <c r="K35" s="19"/>
      <c r="L35" s="19"/>
    </row>
    <row r="36" spans="2:12" ht="25.5" x14ac:dyDescent="0.25">
      <c r="B36" s="37"/>
      <c r="C36" s="37"/>
      <c r="D36" s="37"/>
      <c r="E36" s="37"/>
      <c r="F36" s="3"/>
      <c r="G36" s="32" t="s">
        <v>25</v>
      </c>
      <c r="H36" s="13" t="s">
        <v>18</v>
      </c>
      <c r="I36" s="13" t="s">
        <v>19</v>
      </c>
      <c r="J36" s="13" t="s">
        <v>8</v>
      </c>
      <c r="K36" s="19"/>
      <c r="L36" s="19"/>
    </row>
    <row r="37" spans="2:12" ht="25.5" x14ac:dyDescent="0.25">
      <c r="B37" s="16" t="s">
        <v>27</v>
      </c>
      <c r="C37" s="13" t="s">
        <v>18</v>
      </c>
      <c r="D37" s="13" t="s">
        <v>19</v>
      </c>
      <c r="E37" s="13" t="s">
        <v>8</v>
      </c>
      <c r="F37" s="3"/>
      <c r="G37" s="3" t="s">
        <v>52</v>
      </c>
      <c r="H37" s="40"/>
      <c r="I37" s="40"/>
      <c r="J37" s="4">
        <f>Pets193143556779[Costo Presupuestado]-Pets193143556779[Costo Real]</f>
        <v>0</v>
      </c>
      <c r="K37" s="19"/>
      <c r="L37" s="19"/>
    </row>
    <row r="38" spans="2:12" x14ac:dyDescent="0.25">
      <c r="B38" s="3" t="s">
        <v>45</v>
      </c>
      <c r="C38" s="40">
        <v>0</v>
      </c>
      <c r="D38" s="40">
        <v>0</v>
      </c>
      <c r="E38" s="4">
        <f>Insurance162840526476[Costo Presupuestado]-Insurance162840526476[Costo Real]</f>
        <v>0</v>
      </c>
      <c r="F38" s="3"/>
      <c r="G38" s="3" t="s">
        <v>53</v>
      </c>
      <c r="H38" s="40"/>
      <c r="I38" s="40"/>
      <c r="J38" s="4">
        <f>Pets193143556779[Costo Presupuestado]-Pets193143556779[Costo Real]</f>
        <v>0</v>
      </c>
      <c r="K38" s="19"/>
      <c r="L38" s="19"/>
    </row>
    <row r="39" spans="2:12" x14ac:dyDescent="0.25">
      <c r="B39" s="3" t="s">
        <v>46</v>
      </c>
      <c r="C39" s="40">
        <v>500</v>
      </c>
      <c r="D39" s="40">
        <v>500</v>
      </c>
      <c r="E39" s="4">
        <f>Insurance162840526476[Costo Presupuestado]-Insurance162840526476[Costo Real]</f>
        <v>0</v>
      </c>
      <c r="F39" s="3"/>
      <c r="G39" s="3" t="s">
        <v>54</v>
      </c>
      <c r="H39" s="40"/>
      <c r="I39" s="40"/>
      <c r="J39" s="4">
        <f>Pets193143556779[Costo Presupuestado]-Pets193143556779[Costo Real]</f>
        <v>0</v>
      </c>
      <c r="K39" s="19"/>
      <c r="L39" s="19"/>
    </row>
    <row r="40" spans="2:12" x14ac:dyDescent="0.25">
      <c r="B40" s="3" t="s">
        <v>47</v>
      </c>
      <c r="C40" s="40">
        <v>0</v>
      </c>
      <c r="D40" s="40">
        <v>0</v>
      </c>
      <c r="E40" s="4">
        <f>Insurance162840526476[Costo Presupuestado]-Insurance162840526476[Costo Real]</f>
        <v>0</v>
      </c>
      <c r="F40" s="3"/>
      <c r="G40" s="3" t="s">
        <v>55</v>
      </c>
      <c r="H40" s="40"/>
      <c r="I40" s="40"/>
      <c r="J40" s="4">
        <f>Pets193143556779[Costo Presupuestado]-Pets193143556779[Costo Real]</f>
        <v>0</v>
      </c>
      <c r="K40" s="19"/>
      <c r="L40" s="19"/>
    </row>
    <row r="41" spans="2:12" x14ac:dyDescent="0.25">
      <c r="B41" s="3" t="s">
        <v>48</v>
      </c>
      <c r="C41" s="40">
        <v>0</v>
      </c>
      <c r="D41" s="40">
        <v>0</v>
      </c>
      <c r="E41" s="4">
        <f>Insurance162840526476[Costo Presupuestado]-Insurance162840526476[Costo Real]</f>
        <v>0</v>
      </c>
      <c r="F41" s="3"/>
      <c r="G41" s="3" t="s">
        <v>56</v>
      </c>
      <c r="H41" s="40"/>
      <c r="I41" s="40"/>
      <c r="J41" s="4">
        <f>Pets193143556779[Costo Presupuestado]-Pets193143556779[Costo Real]</f>
        <v>0</v>
      </c>
      <c r="K41" s="19"/>
      <c r="L41" s="19"/>
    </row>
    <row r="42" spans="2:12" x14ac:dyDescent="0.25">
      <c r="B42" s="34" t="s">
        <v>3</v>
      </c>
      <c r="C42" s="41">
        <f>SUBTOTAL(109,Insurance162840526476[Costo Presupuestado])</f>
        <v>500</v>
      </c>
      <c r="D42" s="41">
        <f>SUBTOTAL(109,Insurance162840526476[Costo Real])</f>
        <v>500</v>
      </c>
      <c r="E42" s="41">
        <f>SUBTOTAL(109,Insurance162840526476[Diferencia])</f>
        <v>0</v>
      </c>
      <c r="F42" s="3"/>
      <c r="G42" s="34" t="s">
        <v>3</v>
      </c>
      <c r="H42" s="49">
        <f>SUBTOTAL(109,Pets193143556779[Costo Presupuestado])</f>
        <v>0</v>
      </c>
      <c r="I42" s="49">
        <f>SUBTOTAL(109,Pets193143556779[Costo Real])</f>
        <v>0</v>
      </c>
      <c r="J42" s="49">
        <f>SUBTOTAL(109,Pets193143556779[Diferencia])</f>
        <v>0</v>
      </c>
      <c r="K42" s="19"/>
      <c r="L42" s="19"/>
    </row>
    <row r="43" spans="2:12" ht="25.5" customHeight="1" x14ac:dyDescent="0.25">
      <c r="B43" s="37"/>
      <c r="C43" s="37"/>
      <c r="D43" s="37"/>
      <c r="E43" s="37"/>
      <c r="F43" s="3"/>
      <c r="K43" s="19"/>
      <c r="L43" s="19"/>
    </row>
    <row r="44" spans="2:12" ht="25.5" x14ac:dyDescent="0.25">
      <c r="B44" s="16" t="s">
        <v>26</v>
      </c>
      <c r="C44" s="13" t="s">
        <v>18</v>
      </c>
      <c r="D44" s="13" t="s">
        <v>19</v>
      </c>
      <c r="E44" s="13" t="s">
        <v>8</v>
      </c>
      <c r="F44" s="3"/>
      <c r="G44" s="32" t="s">
        <v>24</v>
      </c>
      <c r="H44" s="13" t="s">
        <v>18</v>
      </c>
      <c r="I44" s="13" t="s">
        <v>19</v>
      </c>
      <c r="J44" s="13" t="s">
        <v>8</v>
      </c>
      <c r="K44" s="19"/>
      <c r="L44" s="19"/>
    </row>
    <row r="45" spans="2:12" x14ac:dyDescent="0.25">
      <c r="B45" s="3" t="s">
        <v>57</v>
      </c>
      <c r="C45" s="40">
        <v>2000</v>
      </c>
      <c r="D45" s="40">
        <v>2500</v>
      </c>
      <c r="E45" s="4">
        <f>Food172941536577[Costo Presupuestado]-Food172941536577[Costo Real]</f>
        <v>-500</v>
      </c>
      <c r="F45" s="3"/>
      <c r="G45" s="3" t="s">
        <v>72</v>
      </c>
      <c r="H45" s="40"/>
      <c r="I45" s="40"/>
      <c r="J45" s="4">
        <f>PersonalCare203244566880[Costo Presupuestado]-PersonalCare203244566880[Costo Real]</f>
        <v>0</v>
      </c>
      <c r="K45" s="19"/>
      <c r="L45" s="19"/>
    </row>
    <row r="46" spans="2:12" x14ac:dyDescent="0.25">
      <c r="B46" s="3" t="s">
        <v>58</v>
      </c>
      <c r="C46" s="40">
        <v>4000</v>
      </c>
      <c r="D46" s="40">
        <v>3000</v>
      </c>
      <c r="E46" s="4">
        <f>Food172941536577[Costo Presupuestado]-Food172941536577[Costo Real]</f>
        <v>1000</v>
      </c>
      <c r="F46" s="3"/>
      <c r="G46" s="3" t="s">
        <v>73</v>
      </c>
      <c r="H46" s="40"/>
      <c r="I46" s="40"/>
      <c r="J46" s="4">
        <f>PersonalCare203244566880[Costo Presupuestado]-PersonalCare203244566880[Costo Real]</f>
        <v>0</v>
      </c>
      <c r="K46" s="19"/>
      <c r="L46" s="19"/>
    </row>
    <row r="47" spans="2:12" x14ac:dyDescent="0.25">
      <c r="B47" s="3" t="s">
        <v>56</v>
      </c>
      <c r="C47" s="40">
        <v>0</v>
      </c>
      <c r="D47" s="40">
        <v>0</v>
      </c>
      <c r="E47" s="4">
        <f>Food172941536577[Costo Presupuestado]-Food172941536577[Costo Real]</f>
        <v>0</v>
      </c>
      <c r="F47" s="3"/>
      <c r="G47" s="3" t="s">
        <v>74</v>
      </c>
      <c r="H47" s="40">
        <v>1000</v>
      </c>
      <c r="I47" s="40">
        <v>600</v>
      </c>
      <c r="J47" s="4">
        <f>PersonalCare203244566880[Costo Presupuestado]-PersonalCare203244566880[Costo Real]</f>
        <v>400</v>
      </c>
      <c r="K47" s="19"/>
      <c r="L47" s="19"/>
    </row>
    <row r="48" spans="2:12" x14ac:dyDescent="0.25">
      <c r="B48" s="34" t="s">
        <v>3</v>
      </c>
      <c r="C48" s="41">
        <f>SUBTOTAL(109,Food172941536577[Costo Presupuestado])</f>
        <v>6000</v>
      </c>
      <c r="D48" s="41">
        <f>SUBTOTAL(109,Food172941536577[Costo Real])</f>
        <v>5500</v>
      </c>
      <c r="E48" s="41">
        <f>SUBTOTAL(109,Food172941536577[Diferencia])</f>
        <v>500</v>
      </c>
      <c r="F48" s="3"/>
      <c r="G48" s="3" t="s">
        <v>75</v>
      </c>
      <c r="H48" s="40"/>
      <c r="I48" s="40"/>
      <c r="J48" s="4">
        <f>PersonalCare203244566880[Costo Presupuestado]-PersonalCare203244566880[Costo Real]</f>
        <v>0</v>
      </c>
      <c r="K48" s="19"/>
      <c r="L48" s="19"/>
    </row>
    <row r="49" spans="2:12" ht="25.5" customHeight="1" x14ac:dyDescent="0.25">
      <c r="B49" s="37"/>
      <c r="C49" s="37"/>
      <c r="D49" s="37"/>
      <c r="E49" s="37"/>
      <c r="F49" s="3"/>
      <c r="G49" s="3" t="s">
        <v>76</v>
      </c>
      <c r="H49" s="40"/>
      <c r="I49" s="40"/>
      <c r="J49" s="4">
        <f>PersonalCare203244566880[Costo Presupuestado]-PersonalCare203244566880[Costo Real]</f>
        <v>0</v>
      </c>
      <c r="K49" s="19"/>
      <c r="L49" s="19"/>
    </row>
    <row r="50" spans="2:12" ht="25.5" customHeight="1" x14ac:dyDescent="0.25">
      <c r="B50" s="16" t="s">
        <v>23</v>
      </c>
      <c r="C50" s="13" t="s">
        <v>18</v>
      </c>
      <c r="D50" s="13" t="s">
        <v>19</v>
      </c>
      <c r="E50" s="13" t="s">
        <v>8</v>
      </c>
      <c r="F50" s="3"/>
      <c r="G50" s="3" t="s">
        <v>64</v>
      </c>
      <c r="H50" s="40"/>
      <c r="I50" s="40"/>
      <c r="J50" s="4">
        <f>PersonalCare203244566880[Costo Presupuestado]-PersonalCare203244566880[Costo Real]</f>
        <v>0</v>
      </c>
      <c r="K50" s="19"/>
      <c r="L50" s="19"/>
    </row>
    <row r="51" spans="2:12" x14ac:dyDescent="0.25">
      <c r="B51" s="21" t="s">
        <v>65</v>
      </c>
      <c r="C51" s="40">
        <v>0</v>
      </c>
      <c r="D51" s="40">
        <v>0</v>
      </c>
      <c r="E51" s="4">
        <f>Children183042546678[Costo Presupuestado]-Children183042546678[Costo Real]</f>
        <v>0</v>
      </c>
      <c r="F51" s="3"/>
      <c r="G51" s="34" t="s">
        <v>3</v>
      </c>
      <c r="H51" s="49">
        <f>SUBTOTAL(109,PersonalCare203244566880[Costo Presupuestado])</f>
        <v>1000</v>
      </c>
      <c r="I51" s="49">
        <f>SUBTOTAL(109,PersonalCare203244566880[Costo Real])</f>
        <v>600</v>
      </c>
      <c r="J51" s="49">
        <f>SUBTOTAL(109,PersonalCare203244566880[Diferencia])</f>
        <v>400</v>
      </c>
      <c r="K51" s="19"/>
      <c r="L51" s="19"/>
    </row>
    <row r="52" spans="2:12" x14ac:dyDescent="0.25">
      <c r="B52" s="21" t="s">
        <v>74</v>
      </c>
      <c r="C52" s="40">
        <v>0</v>
      </c>
      <c r="D52" s="40">
        <v>0</v>
      </c>
      <c r="E52" s="4">
        <f>Children183042546678[Costo Presupuestado]-Children183042546678[Costo Real]</f>
        <v>0</v>
      </c>
      <c r="F52" s="3"/>
      <c r="K52" s="19"/>
      <c r="L52" s="19"/>
    </row>
    <row r="53" spans="2:12" ht="38.25" x14ac:dyDescent="0.25">
      <c r="B53" s="21" t="s">
        <v>59</v>
      </c>
      <c r="C53" s="40">
        <v>0</v>
      </c>
      <c r="D53" s="40">
        <v>0</v>
      </c>
      <c r="E53" s="4">
        <f>Children183042546678[Costo Presupuestado]-Children183042546678[Costo Real]</f>
        <v>0</v>
      </c>
      <c r="F53" s="3"/>
      <c r="G53" s="22" t="s">
        <v>22</v>
      </c>
      <c r="H53" s="13" t="s">
        <v>18</v>
      </c>
      <c r="I53" s="13" t="s">
        <v>19</v>
      </c>
      <c r="J53" s="13" t="s">
        <v>8</v>
      </c>
      <c r="K53" s="19"/>
      <c r="L53" s="19"/>
    </row>
    <row r="54" spans="2:12" ht="25.5" x14ac:dyDescent="0.25">
      <c r="B54" s="21" t="s">
        <v>60</v>
      </c>
      <c r="C54" s="40">
        <v>0</v>
      </c>
      <c r="D54" s="40">
        <v>0</v>
      </c>
      <c r="E54" s="4">
        <f>Children183042546678[Costo Presupuestado]-Children183042546678[Costo Real]</f>
        <v>0</v>
      </c>
      <c r="F54" s="3"/>
      <c r="G54" s="3" t="s">
        <v>5</v>
      </c>
      <c r="H54" s="40"/>
      <c r="I54" s="40"/>
      <c r="J54" s="4">
        <f>Loans223446587082[Costo Presupuestado]-Loans223446587082[Costo Real]</f>
        <v>0</v>
      </c>
      <c r="K54" s="19"/>
      <c r="L54" s="19"/>
    </row>
    <row r="55" spans="2:12" ht="25.5" x14ac:dyDescent="0.25">
      <c r="B55" s="21" t="s">
        <v>4</v>
      </c>
      <c r="C55" s="40">
        <v>0</v>
      </c>
      <c r="D55" s="40">
        <v>0</v>
      </c>
      <c r="E55" s="4">
        <f>Children183042546678[Costo Presupuestado]-Children183042546678[Costo Real]</f>
        <v>0</v>
      </c>
      <c r="F55" s="3"/>
      <c r="G55" s="3" t="s">
        <v>68</v>
      </c>
      <c r="H55" s="40"/>
      <c r="I55" s="40"/>
      <c r="J55" s="4">
        <f>Loans223446587082[Costo Presupuestado]-Loans223446587082[Costo Real]</f>
        <v>0</v>
      </c>
      <c r="K55" s="19"/>
      <c r="L55" s="19"/>
    </row>
    <row r="56" spans="2:12" ht="25.5" x14ac:dyDescent="0.25">
      <c r="B56" s="21" t="s">
        <v>61</v>
      </c>
      <c r="C56" s="40">
        <v>0</v>
      </c>
      <c r="D56" s="40">
        <v>0</v>
      </c>
      <c r="E56" s="4">
        <f>Children183042546678[Costo Presupuestado]-Children183042546678[Costo Real]</f>
        <v>0</v>
      </c>
      <c r="F56" s="3"/>
      <c r="G56" s="3" t="s">
        <v>69</v>
      </c>
      <c r="H56" s="40"/>
      <c r="I56" s="40"/>
      <c r="J56" s="4">
        <f>Loans223446587082[Costo Presupuestado]-Loans223446587082[Costo Real]</f>
        <v>0</v>
      </c>
      <c r="K56" s="19"/>
      <c r="L56" s="19"/>
    </row>
    <row r="57" spans="2:12" x14ac:dyDescent="0.25">
      <c r="B57" s="21" t="s">
        <v>62</v>
      </c>
      <c r="C57" s="40">
        <v>0</v>
      </c>
      <c r="D57" s="40">
        <v>0</v>
      </c>
      <c r="E57" s="4">
        <f>Children183042546678[Costo Presupuestado]-Children183042546678[Costo Real]</f>
        <v>0</v>
      </c>
      <c r="F57" s="3"/>
      <c r="G57" s="3" t="s">
        <v>70</v>
      </c>
      <c r="H57" s="40"/>
      <c r="I57" s="40"/>
      <c r="J57" s="4">
        <f>Loans223446587082[Costo Presupuestado]-Loans223446587082[Costo Real]</f>
        <v>0</v>
      </c>
      <c r="K57" s="19"/>
      <c r="L57" s="19"/>
    </row>
    <row r="58" spans="2:12" x14ac:dyDescent="0.25">
      <c r="B58" s="21" t="s">
        <v>63</v>
      </c>
      <c r="C58" s="40">
        <v>0</v>
      </c>
      <c r="D58" s="40">
        <v>0</v>
      </c>
      <c r="E58" s="4">
        <f>Children183042546678[Costo Presupuestado]-Children183042546678[Costo Real]</f>
        <v>0</v>
      </c>
      <c r="F58" s="3"/>
      <c r="G58" s="3" t="s">
        <v>71</v>
      </c>
      <c r="H58" s="40"/>
      <c r="I58" s="40"/>
      <c r="J58" s="4">
        <f>Loans223446587082[Costo Presupuestado]-Loans223446587082[Costo Real]</f>
        <v>0</v>
      </c>
      <c r="K58" s="19"/>
      <c r="L58" s="19"/>
    </row>
    <row r="59" spans="2:12" x14ac:dyDescent="0.25">
      <c r="B59" s="21" t="s">
        <v>64</v>
      </c>
      <c r="C59" s="40">
        <v>0</v>
      </c>
      <c r="D59" s="40">
        <v>0</v>
      </c>
      <c r="E59" s="4">
        <f>Children183042546678[Costo Presupuestado]-Children183042546678[Costo Real]</f>
        <v>0</v>
      </c>
      <c r="F59" s="3"/>
      <c r="G59" s="3" t="s">
        <v>64</v>
      </c>
      <c r="H59" s="40"/>
      <c r="I59" s="40"/>
      <c r="J59" s="4">
        <f>Loans223446587082[Costo Presupuestado]-Loans223446587082[Costo Real]</f>
        <v>0</v>
      </c>
      <c r="K59" s="19"/>
      <c r="L59" s="19"/>
    </row>
    <row r="60" spans="2:12" x14ac:dyDescent="0.25">
      <c r="B60" s="34" t="s">
        <v>3</v>
      </c>
      <c r="C60" s="41">
        <f>SUBTOTAL(109,Children183042546678[Costo Presupuestado])</f>
        <v>0</v>
      </c>
      <c r="D60" s="41">
        <f>SUBTOTAL(109,Children183042546678[Costo Real])</f>
        <v>0</v>
      </c>
      <c r="E60" s="41">
        <f>SUBTOTAL(109,Children183042546678[Diferencia])</f>
        <v>0</v>
      </c>
      <c r="F60" s="3"/>
      <c r="G60" s="34" t="s">
        <v>3</v>
      </c>
      <c r="H60" s="49">
        <f>SUBTOTAL(109,Loans223446587082[Costo Presupuestado])</f>
        <v>0</v>
      </c>
      <c r="I60" s="49">
        <f>SUBTOTAL(109,Loans223446587082[Costo Real])</f>
        <v>0</v>
      </c>
      <c r="J60" s="49">
        <f>SUBTOTAL(109,Loans223446587082[Diferencia])</f>
        <v>0</v>
      </c>
      <c r="K60" s="19"/>
      <c r="L60" s="19"/>
    </row>
    <row r="61" spans="2:12" x14ac:dyDescent="0.25">
      <c r="F61" s="3"/>
      <c r="K61" s="19"/>
      <c r="L61" s="19"/>
    </row>
    <row r="62" spans="2:12" ht="25.5" x14ac:dyDescent="0.25">
      <c r="F62" s="3"/>
      <c r="G62" s="15" t="s">
        <v>21</v>
      </c>
      <c r="H62" s="13" t="s">
        <v>18</v>
      </c>
      <c r="I62" s="13" t="s">
        <v>19</v>
      </c>
      <c r="J62" s="13" t="s">
        <v>8</v>
      </c>
      <c r="K62" s="19"/>
      <c r="L62" s="19"/>
    </row>
    <row r="63" spans="2:12" x14ac:dyDescent="0.25">
      <c r="F63" s="3"/>
      <c r="G63" s="3" t="s">
        <v>66</v>
      </c>
      <c r="H63" s="40"/>
      <c r="I63" s="40"/>
      <c r="J63" s="4">
        <f>Legal253749617385[Costo Presupuestado]-Legal253749617385[Costo Real]</f>
        <v>0</v>
      </c>
      <c r="K63" s="19"/>
      <c r="L63" s="19"/>
    </row>
    <row r="64" spans="2:12" x14ac:dyDescent="0.25">
      <c r="F64" s="3"/>
      <c r="G64" s="3" t="s">
        <v>67</v>
      </c>
      <c r="H64" s="40"/>
      <c r="I64" s="40"/>
      <c r="J64" s="4">
        <f>Legal253749617385[Costo Presupuestado]-Legal253749617385[Costo Real]</f>
        <v>0</v>
      </c>
      <c r="K64" s="19"/>
      <c r="L64" s="19"/>
    </row>
    <row r="65" spans="6:12" x14ac:dyDescent="0.25">
      <c r="F65" s="3"/>
      <c r="G65" s="3" t="s">
        <v>64</v>
      </c>
      <c r="H65" s="40"/>
      <c r="I65" s="40"/>
      <c r="J65" s="4">
        <f>Legal253749617385[Costo Presupuestado]-Legal253749617385[Costo Real]</f>
        <v>0</v>
      </c>
      <c r="K65" s="19"/>
      <c r="L65" s="19"/>
    </row>
    <row r="66" spans="6:12" x14ac:dyDescent="0.25">
      <c r="F66" s="3"/>
      <c r="G66" s="34" t="s">
        <v>3</v>
      </c>
      <c r="H66" s="41">
        <f>SUBTOTAL(109,Legal253749617385[Costo Presupuestado])</f>
        <v>0</v>
      </c>
      <c r="I66" s="41">
        <f>SUBTOTAL(109,Legal253749617385[Costo Real])</f>
        <v>0</v>
      </c>
      <c r="J66" s="41">
        <f>SUBTOTAL(109,Legal253749617385[Diferencia])</f>
        <v>0</v>
      </c>
      <c r="K66" s="19"/>
      <c r="L66" s="19"/>
    </row>
    <row r="67" spans="6:12" x14ac:dyDescent="0.25">
      <c r="F67" s="3"/>
      <c r="K67" s="19"/>
      <c r="L67" s="19"/>
    </row>
    <row r="68" spans="6:12" x14ac:dyDescent="0.25">
      <c r="F68" s="3"/>
      <c r="K68" s="19"/>
      <c r="L68" s="19"/>
    </row>
    <row r="69" spans="6:12" x14ac:dyDescent="0.25">
      <c r="F69" s="3"/>
      <c r="K69" s="19"/>
      <c r="L69" s="19"/>
    </row>
    <row r="70" spans="6:12" x14ac:dyDescent="0.25">
      <c r="K70" s="19"/>
      <c r="L70" s="19"/>
    </row>
  </sheetData>
  <mergeCells count="6">
    <mergeCell ref="B1:H1"/>
    <mergeCell ref="B3:C3"/>
    <mergeCell ref="G3:H3"/>
    <mergeCell ref="G9:H9"/>
    <mergeCell ref="Q11:R11"/>
    <mergeCell ref="Q17:R17"/>
  </mergeCells>
  <conditionalFormatting sqref="J54:J59 J37:J41 J31:J33 J21:J27 E15:E24 E51:E59 E45:E47 E38:E41 H17 E28:E34 J63:J65 J45:J50 E7:E11">
    <cfRule type="iconSet" priority="1">
      <iconSet iconSet="3Arrows">
        <cfvo type="percentile" val="0"/>
        <cfvo type="num" val="-50"/>
        <cfvo type="num" val="50"/>
      </iconSet>
    </cfRule>
  </conditionalFormatting>
  <conditionalFormatting sqref="E15:E24">
    <cfRule type="iconSet" priority="2">
      <iconSet iconSet="4Arrows">
        <cfvo type="percent" val="0"/>
        <cfvo type="percent" val="25"/>
        <cfvo type="percent" val="50"/>
        <cfvo type="percent" val="75"/>
      </iconSet>
    </cfRule>
  </conditionalFormatting>
  <pageMargins left="0.7" right="0.7" top="0.75" bottom="0.75" header="0.3" footer="0.3"/>
  <drawing r:id="rId1"/>
  <tableParts count="1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0"/>
  <sheetViews>
    <sheetView workbookViewId="0">
      <selection activeCell="F3" sqref="F3"/>
    </sheetView>
  </sheetViews>
  <sheetFormatPr defaultRowHeight="15" x14ac:dyDescent="0.25"/>
  <cols>
    <col min="1" max="1" width="5" style="17" customWidth="1"/>
    <col min="2" max="2" width="17.42578125" style="17" customWidth="1"/>
    <col min="3" max="3" width="17.5703125" style="17" bestFit="1" customWidth="1"/>
    <col min="4" max="4" width="14" style="17" bestFit="1" customWidth="1"/>
    <col min="5" max="5" width="13" style="17" customWidth="1"/>
    <col min="6" max="6" width="5.5703125" style="17" customWidth="1"/>
    <col min="7" max="7" width="15.42578125" style="17" customWidth="1"/>
    <col min="8" max="8" width="14.7109375" style="17" bestFit="1" customWidth="1"/>
    <col min="9" max="9" width="12" style="17" bestFit="1" customWidth="1"/>
    <col min="10" max="10" width="10.85546875" style="17" bestFit="1" customWidth="1"/>
    <col min="11" max="16384" width="9.140625" style="17"/>
  </cols>
  <sheetData>
    <row r="1" spans="1:18" ht="62.25" customHeight="1" x14ac:dyDescent="0.3">
      <c r="A1" s="19"/>
      <c r="B1" s="51"/>
      <c r="C1" s="51"/>
      <c r="D1" s="51"/>
      <c r="E1" s="51"/>
      <c r="F1" s="51"/>
      <c r="G1" s="51"/>
      <c r="H1" s="51"/>
      <c r="I1" s="1"/>
      <c r="J1" s="1"/>
      <c r="K1" s="19"/>
      <c r="L1" s="19"/>
    </row>
    <row r="2" spans="1:18" ht="18.75" customHeight="1" thickBot="1" x14ac:dyDescent="0.3">
      <c r="A2" s="19"/>
      <c r="B2" s="38"/>
      <c r="C2" s="38"/>
      <c r="D2" s="38"/>
      <c r="E2" s="38"/>
      <c r="F2" s="38"/>
      <c r="G2" s="38"/>
      <c r="H2" s="38"/>
      <c r="I2" s="38"/>
      <c r="J2" s="38"/>
      <c r="K2" s="19"/>
      <c r="L2" s="19"/>
    </row>
    <row r="3" spans="1:18" ht="26.25" thickBot="1" x14ac:dyDescent="0.3">
      <c r="B3" s="52" t="s">
        <v>6</v>
      </c>
      <c r="C3" s="53"/>
      <c r="D3" s="23" t="s">
        <v>7</v>
      </c>
      <c r="E3" s="24" t="s">
        <v>8</v>
      </c>
      <c r="F3" s="2"/>
      <c r="G3" s="54" t="s">
        <v>9</v>
      </c>
      <c r="H3" s="55"/>
      <c r="I3" s="2"/>
      <c r="J3" s="2"/>
      <c r="K3" s="19"/>
      <c r="L3" s="19"/>
      <c r="Q3" s="19"/>
      <c r="R3" s="19"/>
    </row>
    <row r="4" spans="1:18" ht="15.75" thickBot="1" x14ac:dyDescent="0.3">
      <c r="B4" s="25"/>
      <c r="C4" s="50">
        <f>Housing11263850627486[[#Totals],[Costo Presupuestado]]+Transportation15273951637587[[#Totals],[Costo Presupuestado]]+Insurance16284052647688[[#Totals],[Costo Presupuestado]]+Food17294153657789[[#Totals],[Costo Presupuestado]]+Children18304254667890[[#Totals],[Costo Presupuestado]]+Legal25374961738597[[#Totals],[Costo Presupuestado]]+Savings23354759718395[[#Totals],[Costo Presupuestado]]+Loans22344658708294[[#Totals],[Costo Presupuestado]]+Entertainment21334557698193[[#Totals],[Costo Presupuestado]]+PersonalCare20324456688092[[#Totals],[Costo Presupuestado]]+Pets19314355677991[[#Totals],[Costo Presupuestado]]+Gifts24364860728496[[#Totals],[Costo Presupuestado]]</f>
        <v>44250</v>
      </c>
      <c r="D4" s="50">
        <f>Housing11263850627486[[#Totals],[Costo Real]]+Transportation15273951637587[[#Totals],[Costo Real]]+Insurance16284052647688[[#Totals],[Costo Real]]+Food17294153657789[[#Totals],[Costo Real]]+Children18304254667890[[#Totals],[Costo Real]]+Legal25374961738597[[#Totals],[Costo Real]]+Savings23354759718395[[#Totals],[Costo Real]]+Loans22344658708294[[#Totals],[Costo Real]]+Entertainment21334557698193[[#Totals],[Costo Real]]+PersonalCare20324456688092[[#Totals],[Costo Real]]+Pets19314355677991[[#Totals],[Costo Real]]+Gifts24364860728496[[#Totals],[Costo Real]]</f>
        <v>39844</v>
      </c>
      <c r="E4" s="45">
        <f>Housing11263850627486[[#Totals],[Diferencia]]+Transportation15273951637587[[#Totals],[Diferencia]]+Insurance16284052647688[[#Totals],[Diferencia]]+Food17294153657789[[#Totals],[Diferencia]]+Children18304254667890[[#Totals],[Diferencia]]+Legal25374961738597[[#Totals],[Diferencia]]+Savings23354759718395[[#Totals],[Diferencia]]+Loans22344658708294[[#Totals],[Diferencia]]+Entertainment21334557698193[[#Totals],[Diferencia]]+PersonalCare20324456688092[[#Totals],[Diferencia]]+Pets19314355677991[[#Totals],[Diferencia]]+Gifts24364860728496[[#Totals],[Diferencia]]</f>
        <v>4406</v>
      </c>
      <c r="F4" s="2"/>
      <c r="G4" s="39" t="s">
        <v>10</v>
      </c>
      <c r="H4" s="48">
        <v>50000</v>
      </c>
      <c r="I4" s="2"/>
      <c r="J4" s="2"/>
      <c r="K4" s="19"/>
      <c r="L4" s="19"/>
      <c r="Q4" s="19"/>
      <c r="R4" s="19"/>
    </row>
    <row r="5" spans="1:18" ht="25.5" x14ac:dyDescent="0.25">
      <c r="F5" s="3"/>
      <c r="G5" s="26" t="s">
        <v>11</v>
      </c>
      <c r="H5" s="46">
        <v>5000</v>
      </c>
      <c r="I5" s="3"/>
      <c r="J5" s="3"/>
      <c r="K5" s="19"/>
      <c r="L5" s="19"/>
      <c r="Q5" s="19"/>
      <c r="R5" s="19"/>
    </row>
    <row r="6" spans="1:18" ht="25.5" x14ac:dyDescent="0.25">
      <c r="B6" s="33" t="s">
        <v>20</v>
      </c>
      <c r="C6" s="13" t="s">
        <v>18</v>
      </c>
      <c r="D6" s="13" t="s">
        <v>19</v>
      </c>
      <c r="E6" s="13" t="s">
        <v>8</v>
      </c>
      <c r="F6" s="3"/>
      <c r="G6" s="26" t="s">
        <v>12</v>
      </c>
      <c r="H6" s="46">
        <v>0</v>
      </c>
      <c r="I6" s="3"/>
      <c r="J6" s="3"/>
      <c r="K6" s="19"/>
      <c r="L6" s="19"/>
      <c r="Q6" s="19"/>
      <c r="R6" s="19"/>
    </row>
    <row r="7" spans="1:18" ht="26.25" thickBot="1" x14ac:dyDescent="0.3">
      <c r="B7" s="3" t="s">
        <v>77</v>
      </c>
      <c r="C7" s="40">
        <v>5000</v>
      </c>
      <c r="D7" s="40">
        <v>5000</v>
      </c>
      <c r="E7" s="40">
        <f>Savings23354759718395[Costo Presupuestado]-Savings23354759718395[Costo Real]</f>
        <v>0</v>
      </c>
      <c r="F7" s="3"/>
      <c r="G7" s="27" t="s">
        <v>13</v>
      </c>
      <c r="H7" s="47">
        <f>SUM(H4:H6)</f>
        <v>55000</v>
      </c>
      <c r="I7" s="3"/>
      <c r="J7" s="3"/>
      <c r="K7" s="19"/>
      <c r="L7" s="19"/>
      <c r="Q7" s="19"/>
      <c r="R7" s="19"/>
    </row>
    <row r="8" spans="1:18" ht="15.75" thickBot="1" x14ac:dyDescent="0.3">
      <c r="B8" s="3" t="s">
        <v>78</v>
      </c>
      <c r="C8" s="40"/>
      <c r="D8" s="40"/>
      <c r="E8" s="40">
        <f>Savings23354759718395[Costo Presupuestado]-Savings23354759718395[Costo Real]</f>
        <v>0</v>
      </c>
      <c r="F8" s="3"/>
      <c r="G8" s="5"/>
      <c r="H8" s="6"/>
      <c r="I8" s="18"/>
      <c r="J8" s="18"/>
      <c r="K8" s="19"/>
      <c r="L8" s="19"/>
      <c r="Q8" s="19"/>
      <c r="R8" s="19"/>
    </row>
    <row r="9" spans="1:18" ht="25.5" x14ac:dyDescent="0.25">
      <c r="B9" s="3" t="s">
        <v>81</v>
      </c>
      <c r="C9" s="40"/>
      <c r="D9" s="40"/>
      <c r="E9" s="40">
        <f>Savings23354759718395[Costo Presupuestado]-Savings23354759718395[Costo Real]</f>
        <v>0</v>
      </c>
      <c r="F9" s="3"/>
      <c r="G9" s="56" t="s">
        <v>14</v>
      </c>
      <c r="H9" s="57"/>
      <c r="I9" s="3"/>
      <c r="J9" s="3"/>
      <c r="K9" s="19" t="s">
        <v>0</v>
      </c>
      <c r="L9" s="19"/>
      <c r="Q9" s="19"/>
      <c r="R9" s="19"/>
    </row>
    <row r="10" spans="1:18" x14ac:dyDescent="0.25">
      <c r="B10" s="36" t="s">
        <v>80</v>
      </c>
      <c r="C10" s="42"/>
      <c r="D10" s="42"/>
      <c r="E10" s="40">
        <f>Savings23354759718395[Costo Presupuestado]-Savings23354759718395[Costo Real]</f>
        <v>0</v>
      </c>
      <c r="F10" s="3"/>
      <c r="G10" s="26" t="s">
        <v>10</v>
      </c>
      <c r="H10" s="46">
        <v>48000</v>
      </c>
      <c r="I10" s="3"/>
      <c r="J10" s="3"/>
      <c r="K10" s="19"/>
      <c r="L10" s="19"/>
      <c r="Q10" s="19"/>
      <c r="R10" s="19"/>
    </row>
    <row r="11" spans="1:18" ht="25.5" x14ac:dyDescent="0.25">
      <c r="B11" s="3" t="s">
        <v>79</v>
      </c>
      <c r="C11" s="40"/>
      <c r="D11" s="40"/>
      <c r="E11" s="40">
        <f>Savings23354759718395[Costo Presupuestado]-Savings23354759718395[Costo Real]</f>
        <v>0</v>
      </c>
      <c r="F11" s="3"/>
      <c r="G11" s="26" t="s">
        <v>11</v>
      </c>
      <c r="H11" s="46">
        <v>4500</v>
      </c>
      <c r="I11" s="3"/>
      <c r="J11" s="3"/>
      <c r="K11" s="19"/>
      <c r="L11" s="19"/>
      <c r="Q11" s="58"/>
      <c r="R11" s="58"/>
    </row>
    <row r="12" spans="1:18" x14ac:dyDescent="0.25">
      <c r="B12" s="34" t="s">
        <v>3</v>
      </c>
      <c r="C12" s="41">
        <f>SUBTOTAL(109,Savings23354759718395[Costo Presupuestado])</f>
        <v>5000</v>
      </c>
      <c r="D12" s="41">
        <f>SUBTOTAL(109,Savings23354759718395[Costo Real])</f>
        <v>5000</v>
      </c>
      <c r="E12" s="41">
        <f>SUBTOTAL(109,Savings23354759718395[Diferencia])</f>
        <v>0</v>
      </c>
      <c r="F12" s="3"/>
      <c r="G12" s="26" t="s">
        <v>12</v>
      </c>
      <c r="H12" s="46">
        <v>0</v>
      </c>
      <c r="I12" s="3"/>
      <c r="J12" s="3"/>
      <c r="K12" s="19"/>
      <c r="L12" s="19"/>
      <c r="Q12" s="7"/>
      <c r="R12" s="8"/>
    </row>
    <row r="13" spans="1:18" ht="26.25" thickBot="1" x14ac:dyDescent="0.3">
      <c r="F13" s="3"/>
      <c r="G13" s="27" t="s">
        <v>13</v>
      </c>
      <c r="H13" s="47">
        <f>SUM(H10:H12)</f>
        <v>52500</v>
      </c>
      <c r="I13" s="3"/>
      <c r="J13" s="3"/>
      <c r="K13" s="19"/>
      <c r="L13" s="19"/>
      <c r="Q13" s="7"/>
      <c r="R13" s="8"/>
    </row>
    <row r="14" spans="1:18" ht="26.25" thickBot="1" x14ac:dyDescent="0.3">
      <c r="B14" s="12" t="s">
        <v>17</v>
      </c>
      <c r="C14" s="13" t="s">
        <v>18</v>
      </c>
      <c r="D14" s="13" t="s">
        <v>19</v>
      </c>
      <c r="E14" s="13" t="s">
        <v>8</v>
      </c>
      <c r="F14" s="3"/>
      <c r="G14" s="2"/>
      <c r="H14" s="2"/>
      <c r="I14" s="3"/>
      <c r="J14" s="3"/>
      <c r="K14" s="19"/>
      <c r="L14" s="19"/>
      <c r="Q14" s="7"/>
      <c r="R14" s="8"/>
    </row>
    <row r="15" spans="1:18" ht="25.5" x14ac:dyDescent="0.25">
      <c r="B15" s="3" t="s">
        <v>36</v>
      </c>
      <c r="C15" s="40">
        <v>16000</v>
      </c>
      <c r="D15" s="40">
        <v>16000</v>
      </c>
      <c r="E15" s="4">
        <f>Housing11263850627486[Costo Presupuestado]-Housing11263850627486[Costo Real]</f>
        <v>0</v>
      </c>
      <c r="F15" s="3"/>
      <c r="G15" s="29" t="s">
        <v>15</v>
      </c>
      <c r="H15" s="43">
        <f>SUM(H7-C4)</f>
        <v>10750</v>
      </c>
      <c r="I15" s="3"/>
      <c r="J15" s="3"/>
      <c r="K15" s="19"/>
      <c r="L15" s="19"/>
      <c r="Q15" s="7"/>
      <c r="R15" s="8"/>
    </row>
    <row r="16" spans="1:18" ht="25.5" customHeight="1" x14ac:dyDescent="0.25">
      <c r="B16" s="3" t="s">
        <v>37</v>
      </c>
      <c r="C16" s="40">
        <v>0</v>
      </c>
      <c r="D16" s="40">
        <v>0</v>
      </c>
      <c r="E16" s="4">
        <f>Housing11263850627486[Costo Presupuestado]-Housing11263850627486[Costo Real]</f>
        <v>0</v>
      </c>
      <c r="F16" s="3"/>
      <c r="G16" s="30" t="s">
        <v>16</v>
      </c>
      <c r="H16" s="44">
        <f>SUM(H13-D4)</f>
        <v>12656</v>
      </c>
      <c r="I16" s="3"/>
      <c r="J16" s="3"/>
      <c r="K16" s="19"/>
      <c r="L16" s="19"/>
      <c r="Q16" s="10"/>
      <c r="R16" s="2"/>
    </row>
    <row r="17" spans="2:18" ht="15.75" thickBot="1" x14ac:dyDescent="0.3">
      <c r="B17" s="3" t="s">
        <v>38</v>
      </c>
      <c r="C17" s="40">
        <v>0</v>
      </c>
      <c r="D17" s="40">
        <v>0</v>
      </c>
      <c r="E17" s="4">
        <f>Housing11263850627486[Costo Presupuestado]-Housing11263850627486[Costo Real]</f>
        <v>0</v>
      </c>
      <c r="F17" s="3"/>
      <c r="G17" s="31" t="s">
        <v>8</v>
      </c>
      <c r="H17" s="45">
        <f>SUM(H16-H15)</f>
        <v>1906</v>
      </c>
      <c r="I17" s="3"/>
      <c r="J17" s="3"/>
      <c r="K17" s="19"/>
      <c r="L17" s="19"/>
      <c r="Q17" s="58"/>
      <c r="R17" s="58"/>
    </row>
    <row r="18" spans="2:18" x14ac:dyDescent="0.25">
      <c r="B18" s="3" t="s">
        <v>31</v>
      </c>
      <c r="C18" s="40">
        <v>200</v>
      </c>
      <c r="D18" s="40">
        <v>200</v>
      </c>
      <c r="E18" s="4">
        <f>Housing11263850627486[Costo Presupuestado]-Housing11263850627486[Costo Real]</f>
        <v>0</v>
      </c>
      <c r="F18" s="3"/>
      <c r="G18" s="3"/>
      <c r="H18" s="3"/>
      <c r="I18" s="3"/>
      <c r="J18" s="3"/>
      <c r="K18" s="19"/>
      <c r="L18" s="19"/>
      <c r="Q18" s="7"/>
      <c r="R18" s="8"/>
    </row>
    <row r="19" spans="2:18" x14ac:dyDescent="0.25">
      <c r="B19" s="3" t="s">
        <v>32</v>
      </c>
      <c r="C19" s="40">
        <v>100</v>
      </c>
      <c r="D19" s="40">
        <v>100</v>
      </c>
      <c r="E19" s="4">
        <f>Housing11263850627486[Costo Presupuestado]-Housing11263850627486[Costo Real]</f>
        <v>0</v>
      </c>
      <c r="F19" s="3"/>
      <c r="G19" s="18"/>
      <c r="H19" s="18"/>
      <c r="I19" s="18"/>
      <c r="J19" s="18"/>
      <c r="K19" s="19"/>
      <c r="L19" s="19"/>
      <c r="Q19" s="7"/>
      <c r="R19" s="8"/>
    </row>
    <row r="20" spans="2:18" ht="25.5" x14ac:dyDescent="0.25">
      <c r="B20" s="3" t="s">
        <v>33</v>
      </c>
      <c r="C20" s="40">
        <v>0</v>
      </c>
      <c r="D20" s="40">
        <v>0</v>
      </c>
      <c r="E20" s="4">
        <f>Housing11263850627486[Costo Presupuestado]-Housing11263850627486[Costo Real]</f>
        <v>0</v>
      </c>
      <c r="F20" s="3"/>
      <c r="G20" s="14" t="s">
        <v>29</v>
      </c>
      <c r="H20" s="13" t="s">
        <v>18</v>
      </c>
      <c r="I20" s="13" t="s">
        <v>19</v>
      </c>
      <c r="J20" s="13" t="s">
        <v>8</v>
      </c>
      <c r="K20" s="19"/>
      <c r="L20" s="19"/>
      <c r="Q20" s="7"/>
      <c r="R20" s="8"/>
    </row>
    <row r="21" spans="2:18" ht="25.5" x14ac:dyDescent="0.25">
      <c r="B21" s="3" t="s">
        <v>1</v>
      </c>
      <c r="C21" s="40">
        <v>1000</v>
      </c>
      <c r="D21" s="40">
        <v>900</v>
      </c>
      <c r="E21" s="4">
        <f>Housing11263850627486[Costo Presupuestado]-Housing11263850627486[Costo Real]</f>
        <v>100</v>
      </c>
      <c r="F21" s="3"/>
      <c r="G21" s="3" t="s">
        <v>87</v>
      </c>
      <c r="H21" s="40">
        <v>0</v>
      </c>
      <c r="I21" s="40">
        <v>0</v>
      </c>
      <c r="J21" s="4">
        <f>Entertainment21334557698193[Costo Presupuestado]-Entertainment21334557698193[Costo Real]</f>
        <v>0</v>
      </c>
      <c r="K21" s="19"/>
      <c r="L21" s="19"/>
      <c r="Q21" s="7"/>
      <c r="R21" s="8"/>
    </row>
    <row r="22" spans="2:18" ht="25.5" customHeight="1" x14ac:dyDescent="0.25">
      <c r="B22" s="3" t="s">
        <v>2</v>
      </c>
      <c r="C22" s="40">
        <v>450</v>
      </c>
      <c r="D22" s="40">
        <v>400</v>
      </c>
      <c r="E22" s="4">
        <f>Housing11263850627486[Costo Presupuestado]-Housing11263850627486[Costo Real]</f>
        <v>50</v>
      </c>
      <c r="F22" s="3"/>
      <c r="G22" s="3" t="s">
        <v>86</v>
      </c>
      <c r="H22" s="40">
        <v>5000</v>
      </c>
      <c r="I22" s="40">
        <v>4000</v>
      </c>
      <c r="J22" s="4">
        <f>Entertainment21334557698193[Costo Presupuestado]-Entertainment21334557698193[Costo Real]</f>
        <v>1000</v>
      </c>
      <c r="K22" s="19"/>
      <c r="L22" s="19"/>
      <c r="Q22" s="2"/>
      <c r="R22" s="2"/>
    </row>
    <row r="23" spans="2:18" x14ac:dyDescent="0.25">
      <c r="B23" s="3" t="s">
        <v>34</v>
      </c>
      <c r="C23" s="40">
        <v>1800</v>
      </c>
      <c r="D23" s="40">
        <v>1600</v>
      </c>
      <c r="E23" s="9">
        <f>Housing11263850627486[Costo Presupuestado]-Housing11263850627486[Costo Real]</f>
        <v>200</v>
      </c>
      <c r="F23" s="3"/>
      <c r="G23" s="3" t="s">
        <v>82</v>
      </c>
      <c r="H23" s="40">
        <v>700</v>
      </c>
      <c r="I23" s="40">
        <v>1000</v>
      </c>
      <c r="J23" s="4">
        <f>Entertainment21334557698193[Costo Presupuestado]-Entertainment21334557698193[Costo Real]</f>
        <v>-300</v>
      </c>
      <c r="K23" s="19"/>
      <c r="L23" s="19"/>
      <c r="Q23" s="20"/>
      <c r="R23" s="11"/>
    </row>
    <row r="24" spans="2:18" x14ac:dyDescent="0.25">
      <c r="B24" s="3" t="s">
        <v>35</v>
      </c>
      <c r="C24" s="40">
        <v>500</v>
      </c>
      <c r="D24" s="40">
        <v>44</v>
      </c>
      <c r="E24" s="4">
        <f>Housing11263850627486[Costo Presupuestado]-Housing11263850627486[Costo Real]</f>
        <v>456</v>
      </c>
      <c r="F24" s="3"/>
      <c r="G24" s="3" t="s">
        <v>83</v>
      </c>
      <c r="H24" s="40">
        <v>0</v>
      </c>
      <c r="I24" s="40">
        <v>0</v>
      </c>
      <c r="J24" s="4">
        <f>Entertainment21334557698193[Costo Presupuestado]-Entertainment21334557698193[Costo Real]</f>
        <v>0</v>
      </c>
      <c r="K24" s="19"/>
      <c r="L24" s="19"/>
    </row>
    <row r="25" spans="2:18" ht="25.5" x14ac:dyDescent="0.25">
      <c r="B25" s="21" t="s">
        <v>3</v>
      </c>
      <c r="C25" s="40">
        <f>SUBTOTAL(109,Housing11263850627486[Costo Presupuestado])</f>
        <v>20050</v>
      </c>
      <c r="D25" s="40">
        <f>SUBTOTAL(109,Housing11263850627486[Costo Real])</f>
        <v>19244</v>
      </c>
      <c r="E25" s="40">
        <f>SUBTOTAL(109,Housing11263850627486[Diferencia])</f>
        <v>806</v>
      </c>
      <c r="F25" s="3"/>
      <c r="G25" s="3" t="s">
        <v>84</v>
      </c>
      <c r="H25" s="40">
        <v>0</v>
      </c>
      <c r="I25" s="40">
        <v>0</v>
      </c>
      <c r="J25" s="4">
        <f>Entertainment21334557698193[Costo Presupuestado]-Entertainment21334557698193[Costo Real]</f>
        <v>0</v>
      </c>
      <c r="K25" s="19"/>
      <c r="L25" s="19"/>
    </row>
    <row r="26" spans="2:18" x14ac:dyDescent="0.25">
      <c r="B26" s="37"/>
      <c r="C26" s="37"/>
      <c r="D26" s="37"/>
      <c r="E26" s="37"/>
      <c r="F26" s="3"/>
      <c r="G26" s="3" t="s">
        <v>85</v>
      </c>
      <c r="H26" s="40">
        <v>0</v>
      </c>
      <c r="I26" s="40">
        <v>0</v>
      </c>
      <c r="J26" s="4">
        <f>Entertainment21334557698193[Costo Presupuestado]-Entertainment21334557698193[Costo Real]</f>
        <v>0</v>
      </c>
      <c r="K26" s="19"/>
      <c r="L26" s="19"/>
    </row>
    <row r="27" spans="2:18" ht="25.5" x14ac:dyDescent="0.25">
      <c r="B27" s="28" t="s">
        <v>30</v>
      </c>
      <c r="C27" s="13" t="s">
        <v>18</v>
      </c>
      <c r="D27" s="13" t="s">
        <v>19</v>
      </c>
      <c r="E27" s="13" t="s">
        <v>8</v>
      </c>
      <c r="F27" s="3"/>
      <c r="G27" s="3" t="s">
        <v>64</v>
      </c>
      <c r="H27" s="40"/>
      <c r="I27" s="40"/>
      <c r="J27" s="4">
        <f>Entertainment21334557698193[Costo Presupuestado]-Entertainment21334557698193[Costo Real]</f>
        <v>0</v>
      </c>
      <c r="K27" s="19"/>
      <c r="L27" s="19"/>
    </row>
    <row r="28" spans="2:18" ht="25.5" x14ac:dyDescent="0.25">
      <c r="B28" s="3" t="s">
        <v>43</v>
      </c>
      <c r="C28" s="40">
        <v>0</v>
      </c>
      <c r="D28" s="40">
        <v>0</v>
      </c>
      <c r="E28" s="4">
        <f>Transportation15273951637587[Costo Presupuestado]-Transportation15273951637587[Costo Real]</f>
        <v>0</v>
      </c>
      <c r="F28" s="3"/>
      <c r="G28" s="34" t="s">
        <v>3</v>
      </c>
      <c r="H28" s="35">
        <f>SUBTOTAL(109,Entertainment21334557698193[Costo Presupuestado])</f>
        <v>5700</v>
      </c>
      <c r="I28" s="35">
        <f>SUBTOTAL(109,Entertainment21334557698193[Costo Real])</f>
        <v>5000</v>
      </c>
      <c r="J28" s="35">
        <f>SUBTOTAL(109,Entertainment21334557698193[Diferencia])</f>
        <v>700</v>
      </c>
      <c r="K28" s="19"/>
      <c r="L28" s="19"/>
    </row>
    <row r="29" spans="2:18" ht="25.5" x14ac:dyDescent="0.25">
      <c r="B29" s="3" t="s">
        <v>44</v>
      </c>
      <c r="C29" s="40">
        <v>0</v>
      </c>
      <c r="D29" s="40">
        <v>0</v>
      </c>
      <c r="E29" s="4">
        <f>Transportation15273951637587[Costo Presupuestado]-Transportation15273951637587[Costo Real]</f>
        <v>0</v>
      </c>
      <c r="F29" s="3"/>
      <c r="K29" s="19"/>
      <c r="L29" s="19"/>
    </row>
    <row r="30" spans="2:18" ht="25.5" x14ac:dyDescent="0.25">
      <c r="B30" s="3" t="s">
        <v>39</v>
      </c>
      <c r="C30" s="40">
        <v>0</v>
      </c>
      <c r="D30" s="40">
        <v>0</v>
      </c>
      <c r="E30" s="4">
        <f>Transportation15273951637587[Costo Presupuestado]-Transportation15273951637587[Costo Real]</f>
        <v>0</v>
      </c>
      <c r="F30" s="3"/>
      <c r="G30" s="15" t="s">
        <v>28</v>
      </c>
      <c r="H30" s="13" t="s">
        <v>18</v>
      </c>
      <c r="I30" s="13" t="s">
        <v>19</v>
      </c>
      <c r="J30" s="13" t="s">
        <v>8</v>
      </c>
      <c r="K30" s="19"/>
      <c r="L30" s="19"/>
    </row>
    <row r="31" spans="2:18" x14ac:dyDescent="0.25">
      <c r="B31" s="3" t="s">
        <v>40</v>
      </c>
      <c r="C31" s="40">
        <v>6000</v>
      </c>
      <c r="D31" s="40">
        <v>4000</v>
      </c>
      <c r="E31" s="4">
        <f>Transportation15273951637587[Costo Presupuestado]-Transportation15273951637587[Costo Real]</f>
        <v>2000</v>
      </c>
      <c r="F31" s="3"/>
      <c r="G31" s="3" t="s">
        <v>49</v>
      </c>
      <c r="H31" s="40"/>
      <c r="I31" s="40">
        <v>0</v>
      </c>
      <c r="J31" s="4">
        <f>Gifts24364860728496[Costo Presupuestado]-Gifts24364860728496[Costo Real]</f>
        <v>0</v>
      </c>
      <c r="K31" s="19"/>
      <c r="L31" s="19"/>
    </row>
    <row r="32" spans="2:18" x14ac:dyDescent="0.25">
      <c r="B32" s="3" t="s">
        <v>41</v>
      </c>
      <c r="C32" s="40">
        <v>0</v>
      </c>
      <c r="D32" s="40">
        <v>0</v>
      </c>
      <c r="E32" s="4">
        <f>Transportation15273951637587[Costo Presupuestado]-Transportation15273951637587[Costo Real]</f>
        <v>0</v>
      </c>
      <c r="F32" s="3"/>
      <c r="G32" s="3" t="s">
        <v>50</v>
      </c>
      <c r="H32" s="40"/>
      <c r="I32" s="40"/>
      <c r="J32" s="4">
        <f>Gifts24364860728496[Costo Presupuestado]-Gifts24364860728496[Costo Real]</f>
        <v>0</v>
      </c>
      <c r="K32" s="19"/>
      <c r="L32" s="19"/>
    </row>
    <row r="33" spans="2:12" x14ac:dyDescent="0.25">
      <c r="B33" s="3" t="s">
        <v>42</v>
      </c>
      <c r="C33" s="40">
        <v>0</v>
      </c>
      <c r="D33" s="40">
        <v>0</v>
      </c>
      <c r="E33" s="4">
        <f>Transportation15273951637587[Costo Presupuestado]-Transportation15273951637587[Costo Real]</f>
        <v>0</v>
      </c>
      <c r="F33" s="3"/>
      <c r="G33" s="3" t="s">
        <v>51</v>
      </c>
      <c r="H33" s="40"/>
      <c r="I33" s="40"/>
      <c r="J33" s="4">
        <f>Gifts24364860728496[Costo Presupuestado]-Gifts24364860728496[Costo Real]</f>
        <v>0</v>
      </c>
      <c r="K33" s="19"/>
      <c r="L33" s="19"/>
    </row>
    <row r="34" spans="2:12" x14ac:dyDescent="0.25">
      <c r="B34" s="3" t="s">
        <v>38</v>
      </c>
      <c r="C34" s="40">
        <v>0</v>
      </c>
      <c r="D34" s="40">
        <v>0</v>
      </c>
      <c r="E34" s="4">
        <f>Transportation15273951637587[Costo Presupuestado]-Transportation15273951637587[Costo Real]</f>
        <v>0</v>
      </c>
      <c r="F34" s="3"/>
      <c r="G34" s="34" t="s">
        <v>3</v>
      </c>
      <c r="H34" s="41">
        <f>SUBTOTAL(109,Gifts24364860728496[Costo Presupuestado])</f>
        <v>0</v>
      </c>
      <c r="I34" s="41">
        <f>SUBTOTAL(109,Gifts24364860728496[Costo Real])</f>
        <v>0</v>
      </c>
      <c r="J34" s="41">
        <f>SUBTOTAL(109,Gifts24364860728496[Diferencia])</f>
        <v>0</v>
      </c>
      <c r="K34" s="19"/>
      <c r="L34" s="19"/>
    </row>
    <row r="35" spans="2:12" x14ac:dyDescent="0.25">
      <c r="B35" s="34" t="s">
        <v>3</v>
      </c>
      <c r="C35" s="41">
        <f>SUBTOTAL(109,Transportation15273951637587[Costo Presupuestado])</f>
        <v>6000</v>
      </c>
      <c r="D35" s="41">
        <f>SUBTOTAL(109,Transportation15273951637587[Costo Real])</f>
        <v>4000</v>
      </c>
      <c r="E35" s="41">
        <f>SUBTOTAL(109,Transportation15273951637587[Diferencia])</f>
        <v>2000</v>
      </c>
      <c r="F35" s="3"/>
      <c r="K35" s="19"/>
      <c r="L35" s="19"/>
    </row>
    <row r="36" spans="2:12" ht="25.5" x14ac:dyDescent="0.25">
      <c r="B36" s="37"/>
      <c r="C36" s="37"/>
      <c r="D36" s="37"/>
      <c r="E36" s="37"/>
      <c r="F36" s="3"/>
      <c r="G36" s="32" t="s">
        <v>25</v>
      </c>
      <c r="H36" s="13" t="s">
        <v>18</v>
      </c>
      <c r="I36" s="13" t="s">
        <v>19</v>
      </c>
      <c r="J36" s="13" t="s">
        <v>8</v>
      </c>
      <c r="K36" s="19"/>
      <c r="L36" s="19"/>
    </row>
    <row r="37" spans="2:12" ht="25.5" x14ac:dyDescent="0.25">
      <c r="B37" s="16" t="s">
        <v>27</v>
      </c>
      <c r="C37" s="13" t="s">
        <v>18</v>
      </c>
      <c r="D37" s="13" t="s">
        <v>19</v>
      </c>
      <c r="E37" s="13" t="s">
        <v>8</v>
      </c>
      <c r="F37" s="3"/>
      <c r="G37" s="3" t="s">
        <v>52</v>
      </c>
      <c r="H37" s="40"/>
      <c r="I37" s="40"/>
      <c r="J37" s="4">
        <f>Pets19314355677991[Costo Presupuestado]-Pets19314355677991[Costo Real]</f>
        <v>0</v>
      </c>
      <c r="K37" s="19"/>
      <c r="L37" s="19"/>
    </row>
    <row r="38" spans="2:12" x14ac:dyDescent="0.25">
      <c r="B38" s="3" t="s">
        <v>45</v>
      </c>
      <c r="C38" s="40">
        <v>0</v>
      </c>
      <c r="D38" s="40">
        <v>0</v>
      </c>
      <c r="E38" s="4">
        <f>Insurance16284052647688[Costo Presupuestado]-Insurance16284052647688[Costo Real]</f>
        <v>0</v>
      </c>
      <c r="F38" s="3"/>
      <c r="G38" s="3" t="s">
        <v>53</v>
      </c>
      <c r="H38" s="40"/>
      <c r="I38" s="40"/>
      <c r="J38" s="4">
        <f>Pets19314355677991[Costo Presupuestado]-Pets19314355677991[Costo Real]</f>
        <v>0</v>
      </c>
      <c r="K38" s="19"/>
      <c r="L38" s="19"/>
    </row>
    <row r="39" spans="2:12" x14ac:dyDescent="0.25">
      <c r="B39" s="3" t="s">
        <v>46</v>
      </c>
      <c r="C39" s="40">
        <v>500</v>
      </c>
      <c r="D39" s="40">
        <v>500</v>
      </c>
      <c r="E39" s="4">
        <f>Insurance16284052647688[Costo Presupuestado]-Insurance16284052647688[Costo Real]</f>
        <v>0</v>
      </c>
      <c r="F39" s="3"/>
      <c r="G39" s="3" t="s">
        <v>54</v>
      </c>
      <c r="H39" s="40"/>
      <c r="I39" s="40"/>
      <c r="J39" s="4">
        <f>Pets19314355677991[Costo Presupuestado]-Pets19314355677991[Costo Real]</f>
        <v>0</v>
      </c>
      <c r="K39" s="19"/>
      <c r="L39" s="19"/>
    </row>
    <row r="40" spans="2:12" x14ac:dyDescent="0.25">
      <c r="B40" s="3" t="s">
        <v>47</v>
      </c>
      <c r="C40" s="40">
        <v>0</v>
      </c>
      <c r="D40" s="40">
        <v>0</v>
      </c>
      <c r="E40" s="4">
        <f>Insurance16284052647688[Costo Presupuestado]-Insurance16284052647688[Costo Real]</f>
        <v>0</v>
      </c>
      <c r="F40" s="3"/>
      <c r="G40" s="3" t="s">
        <v>55</v>
      </c>
      <c r="H40" s="40"/>
      <c r="I40" s="40"/>
      <c r="J40" s="4">
        <f>Pets19314355677991[Costo Presupuestado]-Pets19314355677991[Costo Real]</f>
        <v>0</v>
      </c>
      <c r="K40" s="19"/>
      <c r="L40" s="19"/>
    </row>
    <row r="41" spans="2:12" x14ac:dyDescent="0.25">
      <c r="B41" s="3" t="s">
        <v>48</v>
      </c>
      <c r="C41" s="40">
        <v>0</v>
      </c>
      <c r="D41" s="40">
        <v>0</v>
      </c>
      <c r="E41" s="4">
        <f>Insurance16284052647688[Costo Presupuestado]-Insurance16284052647688[Costo Real]</f>
        <v>0</v>
      </c>
      <c r="F41" s="3"/>
      <c r="G41" s="3" t="s">
        <v>56</v>
      </c>
      <c r="H41" s="40"/>
      <c r="I41" s="40"/>
      <c r="J41" s="4">
        <f>Pets19314355677991[Costo Presupuestado]-Pets19314355677991[Costo Real]</f>
        <v>0</v>
      </c>
      <c r="K41" s="19"/>
      <c r="L41" s="19"/>
    </row>
    <row r="42" spans="2:12" x14ac:dyDescent="0.25">
      <c r="B42" s="34" t="s">
        <v>3</v>
      </c>
      <c r="C42" s="41">
        <f>SUBTOTAL(109,Insurance16284052647688[Costo Presupuestado])</f>
        <v>500</v>
      </c>
      <c r="D42" s="41">
        <f>SUBTOTAL(109,Insurance16284052647688[Costo Real])</f>
        <v>500</v>
      </c>
      <c r="E42" s="41">
        <f>SUBTOTAL(109,Insurance16284052647688[Diferencia])</f>
        <v>0</v>
      </c>
      <c r="F42" s="3"/>
      <c r="G42" s="34" t="s">
        <v>3</v>
      </c>
      <c r="H42" s="49">
        <f>SUBTOTAL(109,Pets19314355677991[Costo Presupuestado])</f>
        <v>0</v>
      </c>
      <c r="I42" s="49">
        <f>SUBTOTAL(109,Pets19314355677991[Costo Real])</f>
        <v>0</v>
      </c>
      <c r="J42" s="49">
        <f>SUBTOTAL(109,Pets19314355677991[Diferencia])</f>
        <v>0</v>
      </c>
      <c r="K42" s="19"/>
      <c r="L42" s="19"/>
    </row>
    <row r="43" spans="2:12" ht="25.5" customHeight="1" x14ac:dyDescent="0.25">
      <c r="B43" s="37"/>
      <c r="C43" s="37"/>
      <c r="D43" s="37"/>
      <c r="E43" s="37"/>
      <c r="F43" s="3"/>
      <c r="K43" s="19"/>
      <c r="L43" s="19"/>
    </row>
    <row r="44" spans="2:12" ht="25.5" x14ac:dyDescent="0.25">
      <c r="B44" s="16" t="s">
        <v>26</v>
      </c>
      <c r="C44" s="13" t="s">
        <v>18</v>
      </c>
      <c r="D44" s="13" t="s">
        <v>19</v>
      </c>
      <c r="E44" s="13" t="s">
        <v>8</v>
      </c>
      <c r="F44" s="3"/>
      <c r="G44" s="32" t="s">
        <v>24</v>
      </c>
      <c r="H44" s="13" t="s">
        <v>18</v>
      </c>
      <c r="I44" s="13" t="s">
        <v>19</v>
      </c>
      <c r="J44" s="13" t="s">
        <v>8</v>
      </c>
      <c r="K44" s="19"/>
      <c r="L44" s="19"/>
    </row>
    <row r="45" spans="2:12" x14ac:dyDescent="0.25">
      <c r="B45" s="3" t="s">
        <v>57</v>
      </c>
      <c r="C45" s="40">
        <v>2000</v>
      </c>
      <c r="D45" s="40">
        <v>2500</v>
      </c>
      <c r="E45" s="4">
        <f>Food17294153657789[Costo Presupuestado]-Food17294153657789[Costo Real]</f>
        <v>-500</v>
      </c>
      <c r="F45" s="3"/>
      <c r="G45" s="3" t="s">
        <v>72</v>
      </c>
      <c r="H45" s="40"/>
      <c r="I45" s="40"/>
      <c r="J45" s="4">
        <f>PersonalCare20324456688092[Costo Presupuestado]-PersonalCare20324456688092[Costo Real]</f>
        <v>0</v>
      </c>
      <c r="K45" s="19"/>
      <c r="L45" s="19"/>
    </row>
    <row r="46" spans="2:12" x14ac:dyDescent="0.25">
      <c r="B46" s="3" t="s">
        <v>58</v>
      </c>
      <c r="C46" s="40">
        <v>4000</v>
      </c>
      <c r="D46" s="40">
        <v>3000</v>
      </c>
      <c r="E46" s="4">
        <f>Food17294153657789[Costo Presupuestado]-Food17294153657789[Costo Real]</f>
        <v>1000</v>
      </c>
      <c r="F46" s="3"/>
      <c r="G46" s="3" t="s">
        <v>73</v>
      </c>
      <c r="H46" s="40"/>
      <c r="I46" s="40"/>
      <c r="J46" s="4">
        <f>PersonalCare20324456688092[Costo Presupuestado]-PersonalCare20324456688092[Costo Real]</f>
        <v>0</v>
      </c>
      <c r="K46" s="19"/>
      <c r="L46" s="19"/>
    </row>
    <row r="47" spans="2:12" x14ac:dyDescent="0.25">
      <c r="B47" s="3" t="s">
        <v>56</v>
      </c>
      <c r="C47" s="40">
        <v>0</v>
      </c>
      <c r="D47" s="40">
        <v>0</v>
      </c>
      <c r="E47" s="4">
        <f>Food17294153657789[Costo Presupuestado]-Food17294153657789[Costo Real]</f>
        <v>0</v>
      </c>
      <c r="F47" s="3"/>
      <c r="G47" s="3" t="s">
        <v>74</v>
      </c>
      <c r="H47" s="40">
        <v>1000</v>
      </c>
      <c r="I47" s="40">
        <v>600</v>
      </c>
      <c r="J47" s="4">
        <f>PersonalCare20324456688092[Costo Presupuestado]-PersonalCare20324456688092[Costo Real]</f>
        <v>400</v>
      </c>
      <c r="K47" s="19"/>
      <c r="L47" s="19"/>
    </row>
    <row r="48" spans="2:12" x14ac:dyDescent="0.25">
      <c r="B48" s="34" t="s">
        <v>3</v>
      </c>
      <c r="C48" s="41">
        <f>SUBTOTAL(109,Food17294153657789[Costo Presupuestado])</f>
        <v>6000</v>
      </c>
      <c r="D48" s="41">
        <f>SUBTOTAL(109,Food17294153657789[Costo Real])</f>
        <v>5500</v>
      </c>
      <c r="E48" s="41">
        <f>SUBTOTAL(109,Food17294153657789[Diferencia])</f>
        <v>500</v>
      </c>
      <c r="F48" s="3"/>
      <c r="G48" s="3" t="s">
        <v>75</v>
      </c>
      <c r="H48" s="40"/>
      <c r="I48" s="40"/>
      <c r="J48" s="4">
        <f>PersonalCare20324456688092[Costo Presupuestado]-PersonalCare20324456688092[Costo Real]</f>
        <v>0</v>
      </c>
      <c r="K48" s="19"/>
      <c r="L48" s="19"/>
    </row>
    <row r="49" spans="2:12" ht="25.5" customHeight="1" x14ac:dyDescent="0.25">
      <c r="B49" s="37"/>
      <c r="C49" s="37"/>
      <c r="D49" s="37"/>
      <c r="E49" s="37"/>
      <c r="F49" s="3"/>
      <c r="G49" s="3" t="s">
        <v>76</v>
      </c>
      <c r="H49" s="40"/>
      <c r="I49" s="40"/>
      <c r="J49" s="4">
        <f>PersonalCare20324456688092[Costo Presupuestado]-PersonalCare20324456688092[Costo Real]</f>
        <v>0</v>
      </c>
      <c r="K49" s="19"/>
      <c r="L49" s="19"/>
    </row>
    <row r="50" spans="2:12" ht="25.5" customHeight="1" x14ac:dyDescent="0.25">
      <c r="B50" s="16" t="s">
        <v>23</v>
      </c>
      <c r="C50" s="13" t="s">
        <v>18</v>
      </c>
      <c r="D50" s="13" t="s">
        <v>19</v>
      </c>
      <c r="E50" s="13" t="s">
        <v>8</v>
      </c>
      <c r="F50" s="3"/>
      <c r="G50" s="3" t="s">
        <v>64</v>
      </c>
      <c r="H50" s="40"/>
      <c r="I50" s="40"/>
      <c r="J50" s="4">
        <f>PersonalCare20324456688092[Costo Presupuestado]-PersonalCare20324456688092[Costo Real]</f>
        <v>0</v>
      </c>
      <c r="K50" s="19"/>
      <c r="L50" s="19"/>
    </row>
    <row r="51" spans="2:12" x14ac:dyDescent="0.25">
      <c r="B51" s="21" t="s">
        <v>65</v>
      </c>
      <c r="C51" s="40">
        <v>0</v>
      </c>
      <c r="D51" s="40">
        <v>0</v>
      </c>
      <c r="E51" s="4">
        <f>Children18304254667890[Costo Presupuestado]-Children18304254667890[Costo Real]</f>
        <v>0</v>
      </c>
      <c r="F51" s="3"/>
      <c r="G51" s="34" t="s">
        <v>3</v>
      </c>
      <c r="H51" s="49">
        <f>SUBTOTAL(109,PersonalCare20324456688092[Costo Presupuestado])</f>
        <v>1000</v>
      </c>
      <c r="I51" s="49">
        <f>SUBTOTAL(109,PersonalCare20324456688092[Costo Real])</f>
        <v>600</v>
      </c>
      <c r="J51" s="49">
        <f>SUBTOTAL(109,PersonalCare20324456688092[Diferencia])</f>
        <v>400</v>
      </c>
      <c r="K51" s="19"/>
      <c r="L51" s="19"/>
    </row>
    <row r="52" spans="2:12" x14ac:dyDescent="0.25">
      <c r="B52" s="21" t="s">
        <v>74</v>
      </c>
      <c r="C52" s="40">
        <v>0</v>
      </c>
      <c r="D52" s="40">
        <v>0</v>
      </c>
      <c r="E52" s="4">
        <f>Children18304254667890[Costo Presupuestado]-Children18304254667890[Costo Real]</f>
        <v>0</v>
      </c>
      <c r="F52" s="3"/>
      <c r="K52" s="19"/>
      <c r="L52" s="19"/>
    </row>
    <row r="53" spans="2:12" ht="38.25" x14ac:dyDescent="0.25">
      <c r="B53" s="21" t="s">
        <v>59</v>
      </c>
      <c r="C53" s="40">
        <v>0</v>
      </c>
      <c r="D53" s="40">
        <v>0</v>
      </c>
      <c r="E53" s="4">
        <f>Children18304254667890[Costo Presupuestado]-Children18304254667890[Costo Real]</f>
        <v>0</v>
      </c>
      <c r="F53" s="3"/>
      <c r="G53" s="22" t="s">
        <v>22</v>
      </c>
      <c r="H53" s="13" t="s">
        <v>18</v>
      </c>
      <c r="I53" s="13" t="s">
        <v>19</v>
      </c>
      <c r="J53" s="13" t="s">
        <v>8</v>
      </c>
      <c r="K53" s="19"/>
      <c r="L53" s="19"/>
    </row>
    <row r="54" spans="2:12" ht="25.5" x14ac:dyDescent="0.25">
      <c r="B54" s="21" t="s">
        <v>60</v>
      </c>
      <c r="C54" s="40">
        <v>0</v>
      </c>
      <c r="D54" s="40">
        <v>0</v>
      </c>
      <c r="E54" s="4">
        <f>Children18304254667890[Costo Presupuestado]-Children18304254667890[Costo Real]</f>
        <v>0</v>
      </c>
      <c r="F54" s="3"/>
      <c r="G54" s="3" t="s">
        <v>5</v>
      </c>
      <c r="H54" s="40"/>
      <c r="I54" s="40"/>
      <c r="J54" s="4">
        <f>Loans22344658708294[Costo Presupuestado]-Loans22344658708294[Costo Real]</f>
        <v>0</v>
      </c>
      <c r="K54" s="19"/>
      <c r="L54" s="19"/>
    </row>
    <row r="55" spans="2:12" ht="25.5" x14ac:dyDescent="0.25">
      <c r="B55" s="21" t="s">
        <v>4</v>
      </c>
      <c r="C55" s="40">
        <v>0</v>
      </c>
      <c r="D55" s="40">
        <v>0</v>
      </c>
      <c r="E55" s="4">
        <f>Children18304254667890[Costo Presupuestado]-Children18304254667890[Costo Real]</f>
        <v>0</v>
      </c>
      <c r="F55" s="3"/>
      <c r="G55" s="3" t="s">
        <v>68</v>
      </c>
      <c r="H55" s="40"/>
      <c r="I55" s="40"/>
      <c r="J55" s="4">
        <f>Loans22344658708294[Costo Presupuestado]-Loans22344658708294[Costo Real]</f>
        <v>0</v>
      </c>
      <c r="K55" s="19"/>
      <c r="L55" s="19"/>
    </row>
    <row r="56" spans="2:12" ht="25.5" x14ac:dyDescent="0.25">
      <c r="B56" s="21" t="s">
        <v>61</v>
      </c>
      <c r="C56" s="40">
        <v>0</v>
      </c>
      <c r="D56" s="40">
        <v>0</v>
      </c>
      <c r="E56" s="4">
        <f>Children18304254667890[Costo Presupuestado]-Children18304254667890[Costo Real]</f>
        <v>0</v>
      </c>
      <c r="F56" s="3"/>
      <c r="G56" s="3" t="s">
        <v>69</v>
      </c>
      <c r="H56" s="40"/>
      <c r="I56" s="40"/>
      <c r="J56" s="4">
        <f>Loans22344658708294[Costo Presupuestado]-Loans22344658708294[Costo Real]</f>
        <v>0</v>
      </c>
      <c r="K56" s="19"/>
      <c r="L56" s="19"/>
    </row>
    <row r="57" spans="2:12" x14ac:dyDescent="0.25">
      <c r="B57" s="21" t="s">
        <v>62</v>
      </c>
      <c r="C57" s="40">
        <v>0</v>
      </c>
      <c r="D57" s="40">
        <v>0</v>
      </c>
      <c r="E57" s="4">
        <f>Children18304254667890[Costo Presupuestado]-Children18304254667890[Costo Real]</f>
        <v>0</v>
      </c>
      <c r="F57" s="3"/>
      <c r="G57" s="3" t="s">
        <v>70</v>
      </c>
      <c r="H57" s="40"/>
      <c r="I57" s="40"/>
      <c r="J57" s="4">
        <f>Loans22344658708294[Costo Presupuestado]-Loans22344658708294[Costo Real]</f>
        <v>0</v>
      </c>
      <c r="K57" s="19"/>
      <c r="L57" s="19"/>
    </row>
    <row r="58" spans="2:12" x14ac:dyDescent="0.25">
      <c r="B58" s="21" t="s">
        <v>63</v>
      </c>
      <c r="C58" s="40">
        <v>0</v>
      </c>
      <c r="D58" s="40">
        <v>0</v>
      </c>
      <c r="E58" s="4">
        <f>Children18304254667890[Costo Presupuestado]-Children18304254667890[Costo Real]</f>
        <v>0</v>
      </c>
      <c r="F58" s="3"/>
      <c r="G58" s="3" t="s">
        <v>71</v>
      </c>
      <c r="H58" s="40"/>
      <c r="I58" s="40"/>
      <c r="J58" s="4">
        <f>Loans22344658708294[Costo Presupuestado]-Loans22344658708294[Costo Real]</f>
        <v>0</v>
      </c>
      <c r="K58" s="19"/>
      <c r="L58" s="19"/>
    </row>
    <row r="59" spans="2:12" x14ac:dyDescent="0.25">
      <c r="B59" s="21" t="s">
        <v>64</v>
      </c>
      <c r="C59" s="40">
        <v>0</v>
      </c>
      <c r="D59" s="40">
        <v>0</v>
      </c>
      <c r="E59" s="4">
        <f>Children18304254667890[Costo Presupuestado]-Children18304254667890[Costo Real]</f>
        <v>0</v>
      </c>
      <c r="F59" s="3"/>
      <c r="G59" s="3" t="s">
        <v>64</v>
      </c>
      <c r="H59" s="40"/>
      <c r="I59" s="40"/>
      <c r="J59" s="4">
        <f>Loans22344658708294[Costo Presupuestado]-Loans22344658708294[Costo Real]</f>
        <v>0</v>
      </c>
      <c r="K59" s="19"/>
      <c r="L59" s="19"/>
    </row>
    <row r="60" spans="2:12" x14ac:dyDescent="0.25">
      <c r="B60" s="34" t="s">
        <v>3</v>
      </c>
      <c r="C60" s="41">
        <f>SUBTOTAL(109,Children18304254667890[Costo Presupuestado])</f>
        <v>0</v>
      </c>
      <c r="D60" s="41">
        <f>SUBTOTAL(109,Children18304254667890[Costo Real])</f>
        <v>0</v>
      </c>
      <c r="E60" s="41">
        <f>SUBTOTAL(109,Children18304254667890[Diferencia])</f>
        <v>0</v>
      </c>
      <c r="F60" s="3"/>
      <c r="G60" s="34" t="s">
        <v>3</v>
      </c>
      <c r="H60" s="49">
        <f>SUBTOTAL(109,Loans22344658708294[Costo Presupuestado])</f>
        <v>0</v>
      </c>
      <c r="I60" s="49">
        <f>SUBTOTAL(109,Loans22344658708294[Costo Real])</f>
        <v>0</v>
      </c>
      <c r="J60" s="49">
        <f>SUBTOTAL(109,Loans22344658708294[Diferencia])</f>
        <v>0</v>
      </c>
      <c r="K60" s="19"/>
      <c r="L60" s="19"/>
    </row>
    <row r="61" spans="2:12" x14ac:dyDescent="0.25">
      <c r="F61" s="3"/>
      <c r="K61" s="19"/>
      <c r="L61" s="19"/>
    </row>
    <row r="62" spans="2:12" ht="25.5" x14ac:dyDescent="0.25">
      <c r="F62" s="3"/>
      <c r="G62" s="15" t="s">
        <v>21</v>
      </c>
      <c r="H62" s="13" t="s">
        <v>18</v>
      </c>
      <c r="I62" s="13" t="s">
        <v>19</v>
      </c>
      <c r="J62" s="13" t="s">
        <v>8</v>
      </c>
      <c r="K62" s="19"/>
      <c r="L62" s="19"/>
    </row>
    <row r="63" spans="2:12" x14ac:dyDescent="0.25">
      <c r="F63" s="3"/>
      <c r="G63" s="3" t="s">
        <v>66</v>
      </c>
      <c r="H63" s="40"/>
      <c r="I63" s="40"/>
      <c r="J63" s="4">
        <f>Legal25374961738597[Costo Presupuestado]-Legal25374961738597[Costo Real]</f>
        <v>0</v>
      </c>
      <c r="K63" s="19"/>
      <c r="L63" s="19"/>
    </row>
    <row r="64" spans="2:12" x14ac:dyDescent="0.25">
      <c r="F64" s="3"/>
      <c r="G64" s="3" t="s">
        <v>67</v>
      </c>
      <c r="H64" s="40"/>
      <c r="I64" s="40"/>
      <c r="J64" s="4">
        <f>Legal25374961738597[Costo Presupuestado]-Legal25374961738597[Costo Real]</f>
        <v>0</v>
      </c>
      <c r="K64" s="19"/>
      <c r="L64" s="19"/>
    </row>
    <row r="65" spans="6:12" x14ac:dyDescent="0.25">
      <c r="F65" s="3"/>
      <c r="G65" s="3" t="s">
        <v>64</v>
      </c>
      <c r="H65" s="40"/>
      <c r="I65" s="40"/>
      <c r="J65" s="4">
        <f>Legal25374961738597[Costo Presupuestado]-Legal25374961738597[Costo Real]</f>
        <v>0</v>
      </c>
      <c r="K65" s="19"/>
      <c r="L65" s="19"/>
    </row>
    <row r="66" spans="6:12" x14ac:dyDescent="0.25">
      <c r="F66" s="3"/>
      <c r="G66" s="34" t="s">
        <v>3</v>
      </c>
      <c r="H66" s="41">
        <f>SUBTOTAL(109,Legal25374961738597[Costo Presupuestado])</f>
        <v>0</v>
      </c>
      <c r="I66" s="41">
        <f>SUBTOTAL(109,Legal25374961738597[Costo Real])</f>
        <v>0</v>
      </c>
      <c r="J66" s="41">
        <f>SUBTOTAL(109,Legal25374961738597[Diferencia])</f>
        <v>0</v>
      </c>
      <c r="K66" s="19"/>
      <c r="L66" s="19"/>
    </row>
    <row r="67" spans="6:12" x14ac:dyDescent="0.25">
      <c r="F67" s="3"/>
      <c r="K67" s="19"/>
      <c r="L67" s="19"/>
    </row>
    <row r="68" spans="6:12" x14ac:dyDescent="0.25">
      <c r="F68" s="3"/>
      <c r="K68" s="19"/>
      <c r="L68" s="19"/>
    </row>
    <row r="69" spans="6:12" x14ac:dyDescent="0.25">
      <c r="F69" s="3"/>
      <c r="K69" s="19"/>
      <c r="L69" s="19"/>
    </row>
    <row r="70" spans="6:12" x14ac:dyDescent="0.25">
      <c r="K70" s="19"/>
      <c r="L70" s="19"/>
    </row>
  </sheetData>
  <mergeCells count="6">
    <mergeCell ref="B1:H1"/>
    <mergeCell ref="B3:C3"/>
    <mergeCell ref="G3:H3"/>
    <mergeCell ref="G9:H9"/>
    <mergeCell ref="Q11:R11"/>
    <mergeCell ref="Q17:R17"/>
  </mergeCells>
  <conditionalFormatting sqref="J54:J59 J37:J41 J31:J33 J21:J27 E15:E24 E51:E59 E45:E47 E38:E41 H17 E28:E34 J63:J65 J45:J50 E7:E11">
    <cfRule type="iconSet" priority="1">
      <iconSet iconSet="3Arrows">
        <cfvo type="percentile" val="0"/>
        <cfvo type="num" val="-50"/>
        <cfvo type="num" val="50"/>
      </iconSet>
    </cfRule>
  </conditionalFormatting>
  <conditionalFormatting sqref="E15:E24">
    <cfRule type="iconSet" priority="2">
      <iconSet iconSet="4Arrows">
        <cfvo type="percent" val="0"/>
        <cfvo type="percent" val="25"/>
        <cfvo type="percent" val="50"/>
        <cfvo type="percent" val="75"/>
      </iconSet>
    </cfRule>
  </conditionalFormatting>
  <pageMargins left="0.7" right="0.7" top="0.75" bottom="0.75" header="0.3" footer="0.3"/>
  <drawing r:id="rId1"/>
  <tableParts count="1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  <vt:lpstr>Resumen</vt:lpstr>
      <vt:lpstr>Acumulado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Santos</dc:creator>
  <cp:lastModifiedBy>Luis Santos</cp:lastModifiedBy>
  <dcterms:created xsi:type="dcterms:W3CDTF">2015-05-14T21:48:24Z</dcterms:created>
  <dcterms:modified xsi:type="dcterms:W3CDTF">2015-05-15T22:49:00Z</dcterms:modified>
</cp:coreProperties>
</file>